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Y:\In Progress Files\Mohd. Umair\TEV reports\New folder\Documents Shared by Client\drive-download-20250221T060950Z-001\"/>
    </mc:Choice>
  </mc:AlternateContent>
  <xr:revisionPtr revIDLastSave="0" documentId="13_ncr:1_{4BF4B4D0-E13D-434C-84BD-28241DD15B96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Title" sheetId="1" r:id="rId1"/>
    <sheet name="Assumptions" sheetId="2" r:id="rId2"/>
    <sheet name="Project Cost" sheetId="3" r:id="rId3"/>
    <sheet name="PO wise details" sheetId="4" r:id="rId4"/>
    <sheet name="List of hospitals" sheetId="5" r:id="rId5"/>
    <sheet name="PVSyst" sheetId="6" r:id="rId6"/>
    <sheet name="P&amp;L Proj" sheetId="7" r:id="rId7"/>
    <sheet name="BS Proj" sheetId="8" r:id="rId8"/>
    <sheet name="Repayment Sch" sheetId="9" r:id="rId9"/>
    <sheet name="Proj DSCR" sheetId="10" r:id="rId10"/>
    <sheet name="Proj IRR" sheetId="11" r:id="rId11"/>
    <sheet name="Co Proj P&amp;L" sheetId="12" r:id="rId12"/>
    <sheet name="Co Proj BS" sheetId="13" r:id="rId13"/>
    <sheet name="Physical Progress" sheetId="14" r:id="rId14"/>
    <sheet name="Shareholding" sheetId="15" r:id="rId15"/>
  </sheets>
  <definedNames>
    <definedName name="Full_Print">#REF!</definedName>
    <definedName name="Total_Cost">#REF!</definedName>
    <definedName name="Total_Interest">#REF!</definedName>
  </definedNames>
  <calcPr calcId="191029"/>
</workbook>
</file>

<file path=xl/calcChain.xml><?xml version="1.0" encoding="utf-8"?>
<calcChain xmlns="http://schemas.openxmlformats.org/spreadsheetml/2006/main">
  <c r="C18" i="3" l="1"/>
  <c r="C12" i="3"/>
  <c r="C17" i="3"/>
  <c r="C18" i="8"/>
  <c r="B20" i="2"/>
  <c r="B8" i="2"/>
  <c r="F2" i="6" l="1"/>
  <c r="G2" i="6"/>
  <c r="H3" i="6"/>
  <c r="H2" i="6"/>
  <c r="G31" i="6"/>
  <c r="G38" i="4"/>
  <c r="F38" i="4"/>
  <c r="H27" i="4"/>
  <c r="H15" i="4"/>
  <c r="E10" i="2"/>
  <c r="B20" i="15"/>
  <c r="C18" i="15" s="1"/>
  <c r="D19" i="15"/>
  <c r="C16" i="15"/>
  <c r="C14" i="15"/>
  <c r="C12" i="15"/>
  <c r="C10" i="15"/>
  <c r="C8" i="15"/>
  <c r="C6" i="15"/>
  <c r="C4" i="15"/>
  <c r="D49" i="13"/>
  <c r="E47" i="13"/>
  <c r="D47" i="13"/>
  <c r="C47" i="13"/>
  <c r="C48" i="13" s="1"/>
  <c r="C49" i="13" s="1"/>
  <c r="B47" i="13"/>
  <c r="B48" i="13" s="1"/>
  <c r="B49" i="13" s="1"/>
  <c r="E36" i="13"/>
  <c r="D36" i="13"/>
  <c r="C36" i="13"/>
  <c r="B36" i="13"/>
  <c r="E28" i="13"/>
  <c r="E49" i="13" s="1"/>
  <c r="D28" i="13"/>
  <c r="C28" i="13"/>
  <c r="B28" i="13"/>
  <c r="E21" i="13"/>
  <c r="E22" i="13" s="1"/>
  <c r="D21" i="13"/>
  <c r="D22" i="13" s="1"/>
  <c r="C21" i="13"/>
  <c r="C22" i="13" s="1"/>
  <c r="B21" i="13"/>
  <c r="B22" i="13" s="1"/>
  <c r="B18" i="13"/>
  <c r="E13" i="13"/>
  <c r="D13" i="13"/>
  <c r="C13" i="13"/>
  <c r="B13" i="13"/>
  <c r="E23" i="12"/>
  <c r="D23" i="12"/>
  <c r="C23" i="12"/>
  <c r="B23" i="12"/>
  <c r="C15" i="12"/>
  <c r="E14" i="12"/>
  <c r="E15" i="12" s="1"/>
  <c r="E28" i="12" s="1"/>
  <c r="E30" i="12" s="1"/>
  <c r="E32" i="12" s="1"/>
  <c r="E34" i="12" s="1"/>
  <c r="E35" i="12" s="1"/>
  <c r="D14" i="12"/>
  <c r="D15" i="12" s="1"/>
  <c r="D28" i="12" s="1"/>
  <c r="D30" i="12" s="1"/>
  <c r="D32" i="12" s="1"/>
  <c r="D34" i="12" s="1"/>
  <c r="D35" i="12" s="1"/>
  <c r="C14" i="12"/>
  <c r="B14" i="12"/>
  <c r="B15" i="12" s="1"/>
  <c r="B28" i="12" s="1"/>
  <c r="B30" i="12" s="1"/>
  <c r="B32" i="12" s="1"/>
  <c r="B34" i="12" s="1"/>
  <c r="B35" i="12" s="1"/>
  <c r="E9" i="12"/>
  <c r="E25" i="12" s="1"/>
  <c r="E26" i="12" s="1"/>
  <c r="D9" i="12"/>
  <c r="D25" i="12" s="1"/>
  <c r="D26" i="12" s="1"/>
  <c r="C9" i="12"/>
  <c r="B9" i="12"/>
  <c r="B25" i="12" s="1"/>
  <c r="B26" i="12" s="1"/>
  <c r="S10" i="11"/>
  <c r="R10" i="11"/>
  <c r="AA5" i="11"/>
  <c r="Z5" i="11"/>
  <c r="Y5" i="11"/>
  <c r="X5" i="11"/>
  <c r="W5" i="11"/>
  <c r="V5" i="11"/>
  <c r="U5" i="11"/>
  <c r="T5" i="11"/>
  <c r="S5" i="11"/>
  <c r="AA3" i="11"/>
  <c r="Z3" i="11"/>
  <c r="Y3" i="11"/>
  <c r="X3" i="11"/>
  <c r="W3" i="11"/>
  <c r="V3" i="11"/>
  <c r="U3" i="11"/>
  <c r="T3" i="11"/>
  <c r="S3" i="11"/>
  <c r="R3" i="11"/>
  <c r="Q3" i="11"/>
  <c r="P3" i="11"/>
  <c r="O3" i="11"/>
  <c r="N3" i="11"/>
  <c r="M3" i="11"/>
  <c r="L3" i="11"/>
  <c r="K3" i="11"/>
  <c r="J3" i="11"/>
  <c r="I3" i="11"/>
  <c r="H3" i="11"/>
  <c r="G3" i="11"/>
  <c r="F3" i="11"/>
  <c r="E3" i="11"/>
  <c r="D3" i="11"/>
  <c r="C3" i="11"/>
  <c r="G2" i="11"/>
  <c r="H2" i="11" s="1"/>
  <c r="I2" i="11" s="1"/>
  <c r="J2" i="11" s="1"/>
  <c r="K2" i="11" s="1"/>
  <c r="L2" i="11" s="1"/>
  <c r="M2" i="11" s="1"/>
  <c r="N2" i="11" s="1"/>
  <c r="O2" i="11" s="1"/>
  <c r="P2" i="11" s="1"/>
  <c r="Q2" i="11" s="1"/>
  <c r="R2" i="11" s="1"/>
  <c r="S2" i="11" s="1"/>
  <c r="T2" i="11" s="1"/>
  <c r="U2" i="11" s="1"/>
  <c r="V2" i="11" s="1"/>
  <c r="W2" i="11" s="1"/>
  <c r="X2" i="11" s="1"/>
  <c r="Y2" i="11" s="1"/>
  <c r="Z2" i="11" s="1"/>
  <c r="AA2" i="11" s="1"/>
  <c r="D2" i="11"/>
  <c r="E2" i="11" s="1"/>
  <c r="F2" i="11" s="1"/>
  <c r="P3" i="10"/>
  <c r="O3" i="10"/>
  <c r="N3" i="10"/>
  <c r="M3" i="10"/>
  <c r="L3" i="10"/>
  <c r="K3" i="10"/>
  <c r="J3" i="10"/>
  <c r="I3" i="10"/>
  <c r="H3" i="10"/>
  <c r="G3" i="10"/>
  <c r="F3" i="10"/>
  <c r="E3" i="10"/>
  <c r="D3" i="10"/>
  <c r="C3" i="10"/>
  <c r="B3" i="10"/>
  <c r="I2" i="10"/>
  <c r="J2" i="10" s="1"/>
  <c r="K2" i="10" s="1"/>
  <c r="L2" i="10" s="1"/>
  <c r="M2" i="10" s="1"/>
  <c r="N2" i="10" s="1"/>
  <c r="O2" i="10" s="1"/>
  <c r="P2" i="10" s="1"/>
  <c r="H2" i="10"/>
  <c r="D2" i="10"/>
  <c r="E2" i="10" s="1"/>
  <c r="F2" i="10" s="1"/>
  <c r="G2" i="10" s="1"/>
  <c r="C2" i="10"/>
  <c r="J194" i="9"/>
  <c r="I194" i="9"/>
  <c r="H194" i="9"/>
  <c r="G10" i="9"/>
  <c r="G11" i="9" s="1"/>
  <c r="G12" i="9" s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G24" i="9" s="1"/>
  <c r="G25" i="9" s="1"/>
  <c r="G26" i="9" s="1"/>
  <c r="G27" i="9" s="1"/>
  <c r="G28" i="9" s="1"/>
  <c r="G29" i="9" s="1"/>
  <c r="G30" i="9" s="1"/>
  <c r="G31" i="9" s="1"/>
  <c r="G32" i="9" s="1"/>
  <c r="G33" i="9" s="1"/>
  <c r="G34" i="9" s="1"/>
  <c r="G35" i="9" s="1"/>
  <c r="G36" i="9" s="1"/>
  <c r="G37" i="9" s="1"/>
  <c r="G38" i="9" s="1"/>
  <c r="G39" i="9" s="1"/>
  <c r="G40" i="9" s="1"/>
  <c r="G41" i="9" s="1"/>
  <c r="G42" i="9" s="1"/>
  <c r="G43" i="9" s="1"/>
  <c r="G44" i="9" s="1"/>
  <c r="G45" i="9" s="1"/>
  <c r="G46" i="9" s="1"/>
  <c r="G47" i="9" s="1"/>
  <c r="G48" i="9" s="1"/>
  <c r="G49" i="9" s="1"/>
  <c r="G50" i="9" s="1"/>
  <c r="G51" i="9" s="1"/>
  <c r="G52" i="9" s="1"/>
  <c r="G53" i="9" s="1"/>
  <c r="G54" i="9" s="1"/>
  <c r="G55" i="9" s="1"/>
  <c r="G56" i="9" s="1"/>
  <c r="G57" i="9" s="1"/>
  <c r="G58" i="9" s="1"/>
  <c r="G59" i="9" s="1"/>
  <c r="G60" i="9" s="1"/>
  <c r="G61" i="9" s="1"/>
  <c r="G62" i="9" s="1"/>
  <c r="G63" i="9" s="1"/>
  <c r="G64" i="9" s="1"/>
  <c r="G65" i="9" s="1"/>
  <c r="G66" i="9" s="1"/>
  <c r="G67" i="9" s="1"/>
  <c r="G68" i="9" s="1"/>
  <c r="G69" i="9" s="1"/>
  <c r="G70" i="9" s="1"/>
  <c r="G71" i="9" s="1"/>
  <c r="G72" i="9" s="1"/>
  <c r="G73" i="9" s="1"/>
  <c r="G74" i="9" s="1"/>
  <c r="G75" i="9" s="1"/>
  <c r="G76" i="9" s="1"/>
  <c r="G77" i="9" s="1"/>
  <c r="G78" i="9" s="1"/>
  <c r="G79" i="9" s="1"/>
  <c r="G80" i="9" s="1"/>
  <c r="G81" i="9" s="1"/>
  <c r="G82" i="9" s="1"/>
  <c r="G83" i="9" s="1"/>
  <c r="G84" i="9" s="1"/>
  <c r="G85" i="9" s="1"/>
  <c r="G86" i="9" s="1"/>
  <c r="G87" i="9" s="1"/>
  <c r="G88" i="9" s="1"/>
  <c r="G89" i="9" s="1"/>
  <c r="G90" i="9" s="1"/>
  <c r="G91" i="9" s="1"/>
  <c r="G92" i="9" s="1"/>
  <c r="G93" i="9" s="1"/>
  <c r="G94" i="9" s="1"/>
  <c r="G95" i="9" s="1"/>
  <c r="G96" i="9" s="1"/>
  <c r="G97" i="9" s="1"/>
  <c r="G98" i="9" s="1"/>
  <c r="G99" i="9" s="1"/>
  <c r="G100" i="9" s="1"/>
  <c r="G101" i="9" s="1"/>
  <c r="G102" i="9" s="1"/>
  <c r="G103" i="9" s="1"/>
  <c r="G104" i="9" s="1"/>
  <c r="G105" i="9" s="1"/>
  <c r="G106" i="9" s="1"/>
  <c r="G107" i="9" s="1"/>
  <c r="G108" i="9" s="1"/>
  <c r="G109" i="9" s="1"/>
  <c r="G110" i="9" s="1"/>
  <c r="G111" i="9" s="1"/>
  <c r="G112" i="9" s="1"/>
  <c r="G113" i="9" s="1"/>
  <c r="G114" i="9" s="1"/>
  <c r="G115" i="9" s="1"/>
  <c r="G116" i="9" s="1"/>
  <c r="G117" i="9" s="1"/>
  <c r="G118" i="9" s="1"/>
  <c r="G119" i="9" s="1"/>
  <c r="G120" i="9" s="1"/>
  <c r="G121" i="9" s="1"/>
  <c r="G122" i="9" s="1"/>
  <c r="G123" i="9" s="1"/>
  <c r="G124" i="9" s="1"/>
  <c r="G125" i="9" s="1"/>
  <c r="G126" i="9" s="1"/>
  <c r="G127" i="9" s="1"/>
  <c r="G128" i="9" s="1"/>
  <c r="G129" i="9" s="1"/>
  <c r="G130" i="9" s="1"/>
  <c r="G131" i="9" s="1"/>
  <c r="G132" i="9" s="1"/>
  <c r="G133" i="9" s="1"/>
  <c r="G134" i="9" s="1"/>
  <c r="G135" i="9" s="1"/>
  <c r="G136" i="9" s="1"/>
  <c r="G137" i="9" s="1"/>
  <c r="G138" i="9" s="1"/>
  <c r="G139" i="9" s="1"/>
  <c r="G140" i="9" s="1"/>
  <c r="G141" i="9" s="1"/>
  <c r="G142" i="9" s="1"/>
  <c r="G143" i="9" s="1"/>
  <c r="G144" i="9" s="1"/>
  <c r="G145" i="9" s="1"/>
  <c r="G146" i="9" s="1"/>
  <c r="G147" i="9" s="1"/>
  <c r="G148" i="9" s="1"/>
  <c r="G149" i="9" s="1"/>
  <c r="G150" i="9" s="1"/>
  <c r="G151" i="9" s="1"/>
  <c r="G152" i="9" s="1"/>
  <c r="G153" i="9" s="1"/>
  <c r="G154" i="9" s="1"/>
  <c r="G155" i="9" s="1"/>
  <c r="G156" i="9" s="1"/>
  <c r="G157" i="9" s="1"/>
  <c r="G158" i="9" s="1"/>
  <c r="G159" i="9" s="1"/>
  <c r="G160" i="9" s="1"/>
  <c r="G161" i="9" s="1"/>
  <c r="G162" i="9" s="1"/>
  <c r="G163" i="9" s="1"/>
  <c r="G164" i="9" s="1"/>
  <c r="G165" i="9" s="1"/>
  <c r="G166" i="9" s="1"/>
  <c r="G167" i="9" s="1"/>
  <c r="G168" i="9" s="1"/>
  <c r="G169" i="9" s="1"/>
  <c r="G170" i="9" s="1"/>
  <c r="G171" i="9" s="1"/>
  <c r="G172" i="9" s="1"/>
  <c r="G173" i="9" s="1"/>
  <c r="G174" i="9" s="1"/>
  <c r="G175" i="9" s="1"/>
  <c r="G176" i="9" s="1"/>
  <c r="G177" i="9" s="1"/>
  <c r="G178" i="9" s="1"/>
  <c r="G179" i="9" s="1"/>
  <c r="G180" i="9" s="1"/>
  <c r="G181" i="9" s="1"/>
  <c r="G182" i="9" s="1"/>
  <c r="G183" i="9" s="1"/>
  <c r="G184" i="9" s="1"/>
  <c r="G185" i="9" s="1"/>
  <c r="G186" i="9" s="1"/>
  <c r="G187" i="9" s="1"/>
  <c r="G188" i="9" s="1"/>
  <c r="G189" i="9" s="1"/>
  <c r="G190" i="9" s="1"/>
  <c r="G191" i="9" s="1"/>
  <c r="G192" i="9" s="1"/>
  <c r="G193" i="9" s="1"/>
  <c r="G194" i="9" s="1"/>
  <c r="G9" i="9"/>
  <c r="A9" i="9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177" i="9" s="1"/>
  <c r="A178" i="9" s="1"/>
  <c r="A179" i="9" s="1"/>
  <c r="A180" i="9" s="1"/>
  <c r="A181" i="9" s="1"/>
  <c r="A182" i="9" s="1"/>
  <c r="A183" i="9" s="1"/>
  <c r="A184" i="9" s="1"/>
  <c r="A185" i="9" s="1"/>
  <c r="G8" i="9"/>
  <c r="A8" i="9"/>
  <c r="G7" i="9"/>
  <c r="A7" i="9"/>
  <c r="C2" i="9"/>
  <c r="D36" i="8"/>
  <c r="C36" i="8"/>
  <c r="P26" i="8"/>
  <c r="N26" i="8"/>
  <c r="I26" i="8"/>
  <c r="H26" i="8"/>
  <c r="D26" i="8"/>
  <c r="B26" i="8"/>
  <c r="E17" i="8"/>
  <c r="F17" i="8" s="1"/>
  <c r="F36" i="8" s="1"/>
  <c r="D17" i="8"/>
  <c r="S8" i="8"/>
  <c r="R8" i="8"/>
  <c r="S7" i="8"/>
  <c r="R7" i="8"/>
  <c r="AA4" i="8"/>
  <c r="Z4" i="8"/>
  <c r="Y4" i="8"/>
  <c r="X4" i="8"/>
  <c r="W4" i="8"/>
  <c r="V4" i="8"/>
  <c r="U4" i="8"/>
  <c r="T4" i="8"/>
  <c r="S4" i="8"/>
  <c r="R4" i="8"/>
  <c r="Q4" i="8"/>
  <c r="Q26" i="8" s="1"/>
  <c r="P4" i="8"/>
  <c r="O4" i="8"/>
  <c r="O26" i="8" s="1"/>
  <c r="N4" i="8"/>
  <c r="M4" i="8"/>
  <c r="M26" i="8" s="1"/>
  <c r="L4" i="8"/>
  <c r="L26" i="8" s="1"/>
  <c r="K4" i="8"/>
  <c r="K26" i="8" s="1"/>
  <c r="J4" i="8"/>
  <c r="J26" i="8" s="1"/>
  <c r="I4" i="8"/>
  <c r="H4" i="8"/>
  <c r="G4" i="8"/>
  <c r="G26" i="8" s="1"/>
  <c r="F4" i="8"/>
  <c r="F26" i="8" s="1"/>
  <c r="E4" i="8"/>
  <c r="E26" i="8" s="1"/>
  <c r="D4" i="8"/>
  <c r="C4" i="8"/>
  <c r="C26" i="8" s="1"/>
  <c r="V45" i="7"/>
  <c r="U45" i="7"/>
  <c r="T45" i="7"/>
  <c r="S45" i="7"/>
  <c r="AB44" i="7"/>
  <c r="R42" i="7"/>
  <c r="R45" i="7" s="1"/>
  <c r="R31" i="7"/>
  <c r="R5" i="11" s="1"/>
  <c r="C26" i="7"/>
  <c r="D26" i="7" s="1"/>
  <c r="E26" i="7" s="1"/>
  <c r="F26" i="7" s="1"/>
  <c r="G26" i="7" s="1"/>
  <c r="H26" i="7" s="1"/>
  <c r="I26" i="7" s="1"/>
  <c r="J26" i="7" s="1"/>
  <c r="K26" i="7" s="1"/>
  <c r="L26" i="7" s="1"/>
  <c r="M26" i="7" s="1"/>
  <c r="N26" i="7" s="1"/>
  <c r="O26" i="7" s="1"/>
  <c r="P26" i="7" s="1"/>
  <c r="Q26" i="7" s="1"/>
  <c r="R26" i="7" s="1"/>
  <c r="S26" i="7" s="1"/>
  <c r="T26" i="7" s="1"/>
  <c r="U26" i="7" s="1"/>
  <c r="V26" i="7" s="1"/>
  <c r="W26" i="7" s="1"/>
  <c r="X26" i="7" s="1"/>
  <c r="Y26" i="7" s="1"/>
  <c r="Z26" i="7" s="1"/>
  <c r="AA26" i="7" s="1"/>
  <c r="E13" i="7"/>
  <c r="F13" i="7" s="1"/>
  <c r="G13" i="7" s="1"/>
  <c r="H13" i="7" s="1"/>
  <c r="I13" i="7" s="1"/>
  <c r="J13" i="7" s="1"/>
  <c r="K13" i="7" s="1"/>
  <c r="L13" i="7" s="1"/>
  <c r="M13" i="7" s="1"/>
  <c r="N13" i="7" s="1"/>
  <c r="O13" i="7" s="1"/>
  <c r="P13" i="7" s="1"/>
  <c r="Q13" i="7" s="1"/>
  <c r="R13" i="7" s="1"/>
  <c r="S13" i="7" s="1"/>
  <c r="T13" i="7" s="1"/>
  <c r="U13" i="7" s="1"/>
  <c r="V13" i="7" s="1"/>
  <c r="W13" i="7" s="1"/>
  <c r="X13" i="7" s="1"/>
  <c r="Y13" i="7" s="1"/>
  <c r="Z13" i="7" s="1"/>
  <c r="AA13" i="7" s="1"/>
  <c r="F12" i="7"/>
  <c r="G12" i="7" s="1"/>
  <c r="H12" i="7" s="1"/>
  <c r="I12" i="7" s="1"/>
  <c r="J12" i="7" s="1"/>
  <c r="K12" i="7" s="1"/>
  <c r="L12" i="7" s="1"/>
  <c r="M12" i="7" s="1"/>
  <c r="N12" i="7" s="1"/>
  <c r="O12" i="7" s="1"/>
  <c r="P12" i="7" s="1"/>
  <c r="Q12" i="7" s="1"/>
  <c r="R12" i="7" s="1"/>
  <c r="S12" i="7" s="1"/>
  <c r="T12" i="7" s="1"/>
  <c r="U12" i="7" s="1"/>
  <c r="V12" i="7" s="1"/>
  <c r="W12" i="7" s="1"/>
  <c r="X12" i="7" s="1"/>
  <c r="Y12" i="7" s="1"/>
  <c r="Z12" i="7" s="1"/>
  <c r="AA12" i="7" s="1"/>
  <c r="D12" i="7"/>
  <c r="E12" i="7" s="1"/>
  <c r="E8" i="7"/>
  <c r="F8" i="7" s="1"/>
  <c r="G8" i="7" s="1"/>
  <c r="H8" i="7" s="1"/>
  <c r="I8" i="7" s="1"/>
  <c r="J8" i="7" s="1"/>
  <c r="K8" i="7" s="1"/>
  <c r="L8" i="7" s="1"/>
  <c r="M8" i="7" s="1"/>
  <c r="N8" i="7" s="1"/>
  <c r="O8" i="7" s="1"/>
  <c r="P8" i="7" s="1"/>
  <c r="Q8" i="7" s="1"/>
  <c r="R8" i="7" s="1"/>
  <c r="S8" i="7" s="1"/>
  <c r="T8" i="7" s="1"/>
  <c r="U8" i="7" s="1"/>
  <c r="V8" i="7" s="1"/>
  <c r="W8" i="7" s="1"/>
  <c r="X8" i="7" s="1"/>
  <c r="Y8" i="7" s="1"/>
  <c r="Z8" i="7" s="1"/>
  <c r="AA8" i="7" s="1"/>
  <c r="D7" i="7"/>
  <c r="E7" i="7" s="1"/>
  <c r="F7" i="7" s="1"/>
  <c r="G7" i="7" s="1"/>
  <c r="H7" i="7" s="1"/>
  <c r="I7" i="7" s="1"/>
  <c r="J7" i="7" s="1"/>
  <c r="K7" i="7" s="1"/>
  <c r="L7" i="7" s="1"/>
  <c r="M7" i="7" s="1"/>
  <c r="N7" i="7" s="1"/>
  <c r="O7" i="7" s="1"/>
  <c r="P7" i="7" s="1"/>
  <c r="Q7" i="7" s="1"/>
  <c r="R7" i="7" s="1"/>
  <c r="S7" i="7" s="1"/>
  <c r="T7" i="7" s="1"/>
  <c r="U7" i="7" s="1"/>
  <c r="V7" i="7" s="1"/>
  <c r="W7" i="7" s="1"/>
  <c r="X7" i="7" s="1"/>
  <c r="Y7" i="7" s="1"/>
  <c r="Z7" i="7" s="1"/>
  <c r="AA7" i="7" s="1"/>
  <c r="D6" i="7"/>
  <c r="E6" i="7" s="1"/>
  <c r="F6" i="7" s="1"/>
  <c r="G6" i="7" s="1"/>
  <c r="H6" i="7" s="1"/>
  <c r="I6" i="7" s="1"/>
  <c r="J6" i="7" s="1"/>
  <c r="K6" i="7" s="1"/>
  <c r="L6" i="7" s="1"/>
  <c r="M6" i="7" s="1"/>
  <c r="N6" i="7" s="1"/>
  <c r="O6" i="7" s="1"/>
  <c r="P6" i="7" s="1"/>
  <c r="Q6" i="7" s="1"/>
  <c r="R6" i="7" s="1"/>
  <c r="S6" i="7" s="1"/>
  <c r="T6" i="7" s="1"/>
  <c r="U6" i="7" s="1"/>
  <c r="V6" i="7" s="1"/>
  <c r="W6" i="7" s="1"/>
  <c r="X6" i="7" s="1"/>
  <c r="Y6" i="7" s="1"/>
  <c r="Z6" i="7" s="1"/>
  <c r="AA6" i="7" s="1"/>
  <c r="D3" i="7"/>
  <c r="E3" i="7" s="1"/>
  <c r="F3" i="7" s="1"/>
  <c r="G3" i="7" s="1"/>
  <c r="H3" i="7" s="1"/>
  <c r="I3" i="7" s="1"/>
  <c r="J3" i="7" s="1"/>
  <c r="K3" i="7" s="1"/>
  <c r="L3" i="7" s="1"/>
  <c r="M3" i="7" s="1"/>
  <c r="N3" i="7" s="1"/>
  <c r="O3" i="7" s="1"/>
  <c r="P3" i="7" s="1"/>
  <c r="Q3" i="7" s="1"/>
  <c r="R3" i="7" s="1"/>
  <c r="S3" i="7" s="1"/>
  <c r="T3" i="7" s="1"/>
  <c r="U3" i="7" s="1"/>
  <c r="V3" i="7" s="1"/>
  <c r="W3" i="7" s="1"/>
  <c r="X3" i="7" s="1"/>
  <c r="Y3" i="7" s="1"/>
  <c r="Z3" i="7" s="1"/>
  <c r="AA3" i="7" s="1"/>
  <c r="E41" i="6"/>
  <c r="D41" i="6"/>
  <c r="G36" i="6"/>
  <c r="G35" i="6"/>
  <c r="G34" i="6"/>
  <c r="G33" i="6"/>
  <c r="G32" i="6"/>
  <c r="F30" i="6"/>
  <c r="G30" i="6" s="1"/>
  <c r="G29" i="6"/>
  <c r="G28" i="6"/>
  <c r="G27" i="6"/>
  <c r="G26" i="6"/>
  <c r="G25" i="6"/>
  <c r="G24" i="6"/>
  <c r="H23" i="6"/>
  <c r="F23" i="6"/>
  <c r="G23" i="6" s="1"/>
  <c r="G22" i="6"/>
  <c r="G21" i="6"/>
  <c r="H20" i="6"/>
  <c r="G20" i="6"/>
  <c r="F20" i="6"/>
  <c r="H19" i="6"/>
  <c r="F19" i="6"/>
  <c r="G19" i="6" s="1"/>
  <c r="H18" i="6"/>
  <c r="F18" i="6"/>
  <c r="G18" i="6" s="1"/>
  <c r="H17" i="6"/>
  <c r="F17" i="6"/>
  <c r="G17" i="6" s="1"/>
  <c r="H16" i="6"/>
  <c r="H41" i="6" s="1"/>
  <c r="G16" i="6"/>
  <c r="F16" i="6"/>
  <c r="H15" i="6"/>
  <c r="G15" i="6"/>
  <c r="F15" i="6"/>
  <c r="G14" i="6"/>
  <c r="G13" i="6"/>
  <c r="G12" i="6"/>
  <c r="G11" i="6"/>
  <c r="G10" i="6"/>
  <c r="G9" i="6"/>
  <c r="G8" i="6"/>
  <c r="G7" i="6"/>
  <c r="G6" i="6"/>
  <c r="G5" i="6"/>
  <c r="G4" i="6"/>
  <c r="F3" i="6"/>
  <c r="G3" i="6" s="1"/>
  <c r="G41" i="6"/>
  <c r="D38" i="5"/>
  <c r="A3" i="5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E42" i="4"/>
  <c r="D42" i="4"/>
  <c r="G41" i="4"/>
  <c r="F41" i="4"/>
  <c r="G40" i="4"/>
  <c r="F40" i="4"/>
  <c r="G39" i="4"/>
  <c r="F39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E27" i="4"/>
  <c r="D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E15" i="4"/>
  <c r="D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G6" i="4"/>
  <c r="F6" i="4"/>
  <c r="G5" i="4"/>
  <c r="F5" i="4"/>
  <c r="G4" i="4"/>
  <c r="F4" i="4"/>
  <c r="G3" i="4"/>
  <c r="F3" i="4"/>
  <c r="H5" i="3"/>
  <c r="G5" i="3"/>
  <c r="B11" i="2"/>
  <c r="C25" i="7" s="1"/>
  <c r="C21" i="7"/>
  <c r="D21" i="7" s="1"/>
  <c r="E21" i="7" s="1"/>
  <c r="F21" i="7" s="1"/>
  <c r="G21" i="7" s="1"/>
  <c r="H21" i="7" s="1"/>
  <c r="I21" i="7" s="1"/>
  <c r="J21" i="7" s="1"/>
  <c r="K21" i="7" s="1"/>
  <c r="L21" i="7" s="1"/>
  <c r="M21" i="7" s="1"/>
  <c r="N21" i="7" s="1"/>
  <c r="O21" i="7" s="1"/>
  <c r="P21" i="7" s="1"/>
  <c r="Q21" i="7" s="1"/>
  <c r="R21" i="7" s="1"/>
  <c r="S21" i="7" s="1"/>
  <c r="T21" i="7" s="1"/>
  <c r="U21" i="7" s="1"/>
  <c r="V21" i="7" s="1"/>
  <c r="W21" i="7" s="1"/>
  <c r="X21" i="7" s="1"/>
  <c r="Y21" i="7" s="1"/>
  <c r="Z21" i="7" s="1"/>
  <c r="AA21" i="7" s="1"/>
  <c r="G42" i="4" l="1"/>
  <c r="F27" i="4"/>
  <c r="G27" i="4"/>
  <c r="F42" i="4"/>
  <c r="G15" i="4"/>
  <c r="D25" i="7"/>
  <c r="F15" i="4"/>
  <c r="D43" i="4"/>
  <c r="C4" i="3" s="1"/>
  <c r="C5" i="3" s="1"/>
  <c r="C5" i="7" s="1"/>
  <c r="D5" i="7" s="1"/>
  <c r="E5" i="7" s="1"/>
  <c r="F5" i="7" s="1"/>
  <c r="G5" i="7" s="1"/>
  <c r="H5" i="7" s="1"/>
  <c r="I5" i="7" s="1"/>
  <c r="J5" i="7" s="1"/>
  <c r="K5" i="7" s="1"/>
  <c r="L5" i="7" s="1"/>
  <c r="M5" i="7" s="1"/>
  <c r="N5" i="7" s="1"/>
  <c r="O5" i="7" s="1"/>
  <c r="P5" i="7" s="1"/>
  <c r="Q5" i="7" s="1"/>
  <c r="R5" i="7" s="1"/>
  <c r="S5" i="7" s="1"/>
  <c r="T5" i="7" s="1"/>
  <c r="U5" i="7" s="1"/>
  <c r="V5" i="7" s="1"/>
  <c r="W5" i="7" s="1"/>
  <c r="X5" i="7" s="1"/>
  <c r="Y5" i="7" s="1"/>
  <c r="Z5" i="7" s="1"/>
  <c r="AA5" i="7" s="1"/>
  <c r="E43" i="4"/>
  <c r="E4" i="3" s="1"/>
  <c r="D4" i="3" s="1"/>
  <c r="F41" i="6"/>
  <c r="G17" i="8"/>
  <c r="E36" i="8"/>
  <c r="C28" i="12"/>
  <c r="C30" i="12" s="1"/>
  <c r="C32" i="12" s="1"/>
  <c r="C34" i="12" s="1"/>
  <c r="C35" i="12" s="1"/>
  <c r="C25" i="12"/>
  <c r="C26" i="12" s="1"/>
  <c r="E19" i="15"/>
  <c r="C19" i="15"/>
  <c r="C20" i="15"/>
  <c r="C3" i="15"/>
  <c r="C5" i="15"/>
  <c r="C7" i="15"/>
  <c r="C9" i="15"/>
  <c r="C11" i="15"/>
  <c r="C13" i="15"/>
  <c r="C15" i="15"/>
  <c r="D20" i="15"/>
  <c r="G43" i="4" l="1"/>
  <c r="G44" i="4" s="1"/>
  <c r="G45" i="4" s="1"/>
  <c r="F43" i="4"/>
  <c r="G4" i="3" s="1"/>
  <c r="F4" i="3" s="1"/>
  <c r="E25" i="7"/>
  <c r="D27" i="7"/>
  <c r="B6" i="2"/>
  <c r="B5" i="2" s="1"/>
  <c r="C11" i="7" s="1"/>
  <c r="H17" i="8"/>
  <c r="G36" i="8"/>
  <c r="E20" i="15"/>
  <c r="E15" i="15"/>
  <c r="E13" i="15"/>
  <c r="E11" i="15"/>
  <c r="E9" i="15"/>
  <c r="E7" i="15"/>
  <c r="E5" i="15"/>
  <c r="E3" i="15"/>
  <c r="E17" i="15"/>
  <c r="E16" i="15"/>
  <c r="E14" i="15"/>
  <c r="E12" i="15"/>
  <c r="E10" i="15"/>
  <c r="E8" i="15"/>
  <c r="E6" i="15"/>
  <c r="E4" i="15"/>
  <c r="E18" i="15"/>
  <c r="D7" i="3"/>
  <c r="C27" i="7"/>
  <c r="H4" i="3" l="1"/>
  <c r="E27" i="7"/>
  <c r="F25" i="7"/>
  <c r="H36" i="8"/>
  <c r="I17" i="8"/>
  <c r="C14" i="7"/>
  <c r="C16" i="7" s="1"/>
  <c r="D11" i="7"/>
  <c r="E11" i="7" l="1"/>
  <c r="F11" i="7" s="1"/>
  <c r="G11" i="7" s="1"/>
  <c r="H11" i="7" s="1"/>
  <c r="I11" i="7" s="1"/>
  <c r="J11" i="7" s="1"/>
  <c r="K11" i="7" s="1"/>
  <c r="L11" i="7" s="1"/>
  <c r="M11" i="7" s="1"/>
  <c r="N11" i="7" s="1"/>
  <c r="O11" i="7" s="1"/>
  <c r="P11" i="7" s="1"/>
  <c r="Q11" i="7" s="1"/>
  <c r="R11" i="7" s="1"/>
  <c r="S11" i="7" s="1"/>
  <c r="T11" i="7" s="1"/>
  <c r="U11" i="7" s="1"/>
  <c r="V11" i="7" s="1"/>
  <c r="W11" i="7" s="1"/>
  <c r="X11" i="7" s="1"/>
  <c r="Y11" i="7" s="1"/>
  <c r="Z11" i="7" s="1"/>
  <c r="AA11" i="7" s="1"/>
  <c r="D14" i="7"/>
  <c r="G25" i="7"/>
  <c r="F27" i="7"/>
  <c r="C17" i="7"/>
  <c r="C18" i="7" s="1"/>
  <c r="C22" i="7" s="1"/>
  <c r="D16" i="7"/>
  <c r="I36" i="8"/>
  <c r="J17" i="8"/>
  <c r="E14" i="7" l="1"/>
  <c r="D15" i="7"/>
  <c r="C37" i="8"/>
  <c r="C29" i="7"/>
  <c r="D17" i="7"/>
  <c r="D18" i="7" s="1"/>
  <c r="D22" i="7" s="1"/>
  <c r="E16" i="7"/>
  <c r="J36" i="8"/>
  <c r="K17" i="8"/>
  <c r="G27" i="7"/>
  <c r="H25" i="7"/>
  <c r="L17" i="8" l="1"/>
  <c r="K36" i="8"/>
  <c r="F16" i="7"/>
  <c r="E17" i="7"/>
  <c r="E18" i="7" s="1"/>
  <c r="E22" i="7" s="1"/>
  <c r="H27" i="7"/>
  <c r="I25" i="7"/>
  <c r="D29" i="7"/>
  <c r="D18" i="8"/>
  <c r="D37" i="8" s="1"/>
  <c r="E15" i="7"/>
  <c r="F14" i="7"/>
  <c r="E29" i="7" l="1"/>
  <c r="E18" i="8"/>
  <c r="E37" i="8" s="1"/>
  <c r="L36" i="8"/>
  <c r="M17" i="8"/>
  <c r="I27" i="7"/>
  <c r="J25" i="7"/>
  <c r="G16" i="7"/>
  <c r="F17" i="7"/>
  <c r="F18" i="7" s="1"/>
  <c r="F22" i="7" s="1"/>
  <c r="F15" i="7"/>
  <c r="G14" i="7"/>
  <c r="F18" i="8" l="1"/>
  <c r="F37" i="8" s="1"/>
  <c r="F29" i="7"/>
  <c r="H14" i="7"/>
  <c r="G15" i="7"/>
  <c r="M36" i="8"/>
  <c r="N17" i="8"/>
  <c r="G17" i="7"/>
  <c r="G18" i="7" s="1"/>
  <c r="G22" i="7" s="1"/>
  <c r="H16" i="7"/>
  <c r="K25" i="7"/>
  <c r="J27" i="7"/>
  <c r="N36" i="8" l="1"/>
  <c r="O17" i="8"/>
  <c r="G18" i="8"/>
  <c r="G37" i="8" s="1"/>
  <c r="G29" i="7"/>
  <c r="I14" i="7"/>
  <c r="H15" i="7"/>
  <c r="L25" i="7"/>
  <c r="K27" i="7"/>
  <c r="H17" i="7"/>
  <c r="H18" i="7" s="1"/>
  <c r="H22" i="7" s="1"/>
  <c r="I16" i="7"/>
  <c r="P17" i="8" l="1"/>
  <c r="O36" i="8"/>
  <c r="H18" i="8"/>
  <c r="H37" i="8" s="1"/>
  <c r="H29" i="7"/>
  <c r="L27" i="7"/>
  <c r="M25" i="7"/>
  <c r="I15" i="7"/>
  <c r="J14" i="7"/>
  <c r="I17" i="7"/>
  <c r="I18" i="7" s="1"/>
  <c r="I22" i="7" s="1"/>
  <c r="J16" i="7"/>
  <c r="I18" i="8" l="1"/>
  <c r="I37" i="8" s="1"/>
  <c r="I29" i="7"/>
  <c r="K16" i="7"/>
  <c r="J17" i="7"/>
  <c r="J18" i="7" s="1"/>
  <c r="J22" i="7" s="1"/>
  <c r="M27" i="7"/>
  <c r="N25" i="7"/>
  <c r="J15" i="7"/>
  <c r="K14" i="7"/>
  <c r="Q17" i="8"/>
  <c r="P36" i="8"/>
  <c r="J18" i="8" l="1"/>
  <c r="J37" i="8" s="1"/>
  <c r="J29" i="7"/>
  <c r="Q36" i="8"/>
  <c r="R17" i="8"/>
  <c r="S17" i="8" s="1"/>
  <c r="T17" i="8" s="1"/>
  <c r="U17" i="8" s="1"/>
  <c r="V17" i="8" s="1"/>
  <c r="W17" i="8" s="1"/>
  <c r="X17" i="8" s="1"/>
  <c r="Y17" i="8" s="1"/>
  <c r="Z17" i="8" s="1"/>
  <c r="AA17" i="8" s="1"/>
  <c r="K17" i="7"/>
  <c r="K18" i="7" s="1"/>
  <c r="K22" i="7" s="1"/>
  <c r="L16" i="7"/>
  <c r="K15" i="7"/>
  <c r="L14" i="7"/>
  <c r="O25" i="7"/>
  <c r="N27" i="7"/>
  <c r="M16" i="7" l="1"/>
  <c r="L17" i="7"/>
  <c r="L18" i="7" s="1"/>
  <c r="L22" i="7" s="1"/>
  <c r="K18" i="8"/>
  <c r="K37" i="8" s="1"/>
  <c r="K29" i="7"/>
  <c r="P25" i="7"/>
  <c r="O27" i="7"/>
  <c r="M14" i="7"/>
  <c r="L15" i="7"/>
  <c r="L29" i="7" l="1"/>
  <c r="L18" i="8"/>
  <c r="L37" i="8" s="1"/>
  <c r="P27" i="7"/>
  <c r="Q25" i="7"/>
  <c r="M17" i="7"/>
  <c r="M18" i="7" s="1"/>
  <c r="M22" i="7" s="1"/>
  <c r="N16" i="7"/>
  <c r="M15" i="7"/>
  <c r="N14" i="7"/>
  <c r="M18" i="8" l="1"/>
  <c r="M37" i="8" s="1"/>
  <c r="M29" i="7"/>
  <c r="Q27" i="7"/>
  <c r="R25" i="7"/>
  <c r="N17" i="7"/>
  <c r="N18" i="7" s="1"/>
  <c r="N22" i="7" s="1"/>
  <c r="O16" i="7"/>
  <c r="N15" i="7"/>
  <c r="O14" i="7"/>
  <c r="N29" i="7" l="1"/>
  <c r="N18" i="8"/>
  <c r="N37" i="8" s="1"/>
  <c r="O17" i="7"/>
  <c r="O18" i="7" s="1"/>
  <c r="O22" i="7" s="1"/>
  <c r="P16" i="7"/>
  <c r="S25" i="7"/>
  <c r="R27" i="7"/>
  <c r="O15" i="7"/>
  <c r="P14" i="7"/>
  <c r="O18" i="8" l="1"/>
  <c r="O37" i="8" s="1"/>
  <c r="O29" i="7"/>
  <c r="Q14" i="7"/>
  <c r="P15" i="7"/>
  <c r="S27" i="7"/>
  <c r="T25" i="7"/>
  <c r="Q16" i="7"/>
  <c r="P17" i="7"/>
  <c r="P18" i="7" s="1"/>
  <c r="P22" i="7" s="1"/>
  <c r="U25" i="7" l="1"/>
  <c r="T27" i="7"/>
  <c r="P29" i="7"/>
  <c r="P18" i="8"/>
  <c r="P37" i="8" s="1"/>
  <c r="Q15" i="7"/>
  <c r="R14" i="7"/>
  <c r="R16" i="7"/>
  <c r="Q17" i="7"/>
  <c r="Q18" i="7"/>
  <c r="Q22" i="7" s="1"/>
  <c r="S14" i="7" l="1"/>
  <c r="R15" i="7"/>
  <c r="Q18" i="8"/>
  <c r="Q37" i="8" s="1"/>
  <c r="Q29" i="7"/>
  <c r="U27" i="7"/>
  <c r="V25" i="7"/>
  <c r="R17" i="7"/>
  <c r="R18" i="7" s="1"/>
  <c r="R22" i="7" s="1"/>
  <c r="S16" i="7"/>
  <c r="R18" i="8" l="1"/>
  <c r="R29" i="7"/>
  <c r="W25" i="7"/>
  <c r="V27" i="7"/>
  <c r="S17" i="7"/>
  <c r="S18" i="7" s="1"/>
  <c r="S22" i="7" s="1"/>
  <c r="T16" i="7"/>
  <c r="S15" i="7"/>
  <c r="T14" i="7"/>
  <c r="S18" i="8" l="1"/>
  <c r="S29" i="7"/>
  <c r="U14" i="7"/>
  <c r="T15" i="7"/>
  <c r="W27" i="7"/>
  <c r="X25" i="7"/>
  <c r="T17" i="7"/>
  <c r="T18" i="7" s="1"/>
  <c r="T22" i="7" s="1"/>
  <c r="U16" i="7"/>
  <c r="U15" i="7" l="1"/>
  <c r="V14" i="7"/>
  <c r="T29" i="7"/>
  <c r="T18" i="8"/>
  <c r="X27" i="7"/>
  <c r="Y25" i="7"/>
  <c r="V16" i="7"/>
  <c r="U17" i="7"/>
  <c r="U18" i="7" s="1"/>
  <c r="U22" i="7" s="1"/>
  <c r="V15" i="7" l="1"/>
  <c r="W14" i="7"/>
  <c r="W16" i="7"/>
  <c r="V17" i="7"/>
  <c r="V18" i="7" s="1"/>
  <c r="V22" i="7" s="1"/>
  <c r="Y27" i="7"/>
  <c r="Z25" i="7"/>
  <c r="U29" i="7"/>
  <c r="U18" i="8"/>
  <c r="W17" i="7" l="1"/>
  <c r="X16" i="7"/>
  <c r="W18" i="7"/>
  <c r="W22" i="7" s="1"/>
  <c r="V18" i="8"/>
  <c r="V29" i="7"/>
  <c r="AA25" i="7"/>
  <c r="AA27" i="7" s="1"/>
  <c r="Z27" i="7"/>
  <c r="X14" i="7"/>
  <c r="W15" i="7"/>
  <c r="W18" i="8" l="1"/>
  <c r="W29" i="7"/>
  <c r="Y14" i="7"/>
  <c r="X15" i="7"/>
  <c r="X17" i="7"/>
  <c r="X18" i="7" s="1"/>
  <c r="X22" i="7" s="1"/>
  <c r="Y16" i="7"/>
  <c r="Y15" i="7" l="1"/>
  <c r="Z14" i="7"/>
  <c r="X18" i="8"/>
  <c r="X29" i="7"/>
  <c r="Y17" i="7"/>
  <c r="Y18" i="7" s="1"/>
  <c r="Y22" i="7" s="1"/>
  <c r="Z16" i="7"/>
  <c r="Y18" i="8" l="1"/>
  <c r="Y29" i="7"/>
  <c r="AA16" i="7"/>
  <c r="Z17" i="7"/>
  <c r="Z18" i="7" s="1"/>
  <c r="Z22" i="7" s="1"/>
  <c r="Z15" i="7"/>
  <c r="AA14" i="7"/>
  <c r="AA15" i="7" s="1"/>
  <c r="Z29" i="7" l="1"/>
  <c r="Z18" i="8"/>
  <c r="AA17" i="7"/>
  <c r="AA18" i="7" s="1"/>
  <c r="AA22" i="7" s="1"/>
  <c r="AA18" i="8" l="1"/>
  <c r="AA29" i="7"/>
  <c r="C12" i="8" l="1"/>
  <c r="D12" i="8" s="1"/>
  <c r="C19" i="3"/>
  <c r="E7" i="3"/>
  <c r="G7" i="3"/>
  <c r="H6" i="3"/>
  <c r="H7" i="3"/>
  <c r="C32" i="7" s="1"/>
  <c r="B4" i="2"/>
  <c r="G6" i="3"/>
  <c r="E12" i="8" l="1"/>
  <c r="C11" i="3"/>
  <c r="B5" i="10"/>
  <c r="C13" i="8"/>
  <c r="C6" i="11"/>
  <c r="D32" i="7"/>
  <c r="H8" i="3"/>
  <c r="C20" i="3"/>
  <c r="B2" i="9"/>
  <c r="C21" i="3"/>
  <c r="C14" i="8"/>
  <c r="C35" i="8" s="1"/>
  <c r="C38" i="8" s="1"/>
  <c r="C5" i="10" l="1"/>
  <c r="D6" i="11"/>
  <c r="D9" i="11" s="1"/>
  <c r="E32" i="7"/>
  <c r="C5" i="8"/>
  <c r="C13" i="3"/>
  <c r="B13" i="11"/>
  <c r="D182" i="9"/>
  <c r="D181" i="9"/>
  <c r="D180" i="9"/>
  <c r="D179" i="9"/>
  <c r="D177" i="9"/>
  <c r="D174" i="9"/>
  <c r="D170" i="9"/>
  <c r="D169" i="9"/>
  <c r="D168" i="9"/>
  <c r="D167" i="9"/>
  <c r="D166" i="9"/>
  <c r="D165" i="9"/>
  <c r="D164" i="9"/>
  <c r="D158" i="9"/>
  <c r="D157" i="9"/>
  <c r="D156" i="9"/>
  <c r="D155" i="9"/>
  <c r="D154" i="9"/>
  <c r="D153" i="9"/>
  <c r="D151" i="9"/>
  <c r="D149" i="9"/>
  <c r="D146" i="9"/>
  <c r="D145" i="9"/>
  <c r="D144" i="9"/>
  <c r="D143" i="9"/>
  <c r="D142" i="9"/>
  <c r="D141" i="9"/>
  <c r="D175" i="9"/>
  <c r="D162" i="9"/>
  <c r="D178" i="9"/>
  <c r="D163" i="9"/>
  <c r="D152" i="9"/>
  <c r="D150" i="9"/>
  <c r="D176" i="9"/>
  <c r="D173" i="9"/>
  <c r="D172" i="9"/>
  <c r="D161" i="9"/>
  <c r="D160" i="9"/>
  <c r="D148" i="9"/>
  <c r="D138" i="9"/>
  <c r="D137" i="9"/>
  <c r="D134" i="9"/>
  <c r="D133" i="9"/>
  <c r="D132" i="9"/>
  <c r="D131" i="9"/>
  <c r="D130" i="9"/>
  <c r="D128" i="9"/>
  <c r="D122" i="9"/>
  <c r="D121" i="9"/>
  <c r="D120" i="9"/>
  <c r="D119" i="9"/>
  <c r="D118" i="9"/>
  <c r="D117" i="9"/>
  <c r="D116" i="9"/>
  <c r="D115" i="9"/>
  <c r="D113" i="9"/>
  <c r="D110" i="9"/>
  <c r="D109" i="9"/>
  <c r="D108" i="9"/>
  <c r="D107" i="9"/>
  <c r="D106" i="9"/>
  <c r="D105" i="9"/>
  <c r="D104" i="9"/>
  <c r="D98" i="9"/>
  <c r="D97" i="9"/>
  <c r="D96" i="9"/>
  <c r="D95" i="9"/>
  <c r="D94" i="9"/>
  <c r="D93" i="9"/>
  <c r="D92" i="9"/>
  <c r="D91" i="9"/>
  <c r="D90" i="9"/>
  <c r="D86" i="9"/>
  <c r="D85" i="9"/>
  <c r="D84" i="9"/>
  <c r="D83" i="9"/>
  <c r="D82" i="9"/>
  <c r="D81" i="9"/>
  <c r="D80" i="9"/>
  <c r="D79" i="9"/>
  <c r="D78" i="9"/>
  <c r="D77" i="9"/>
  <c r="D74" i="9"/>
  <c r="D73" i="9"/>
  <c r="D72" i="9"/>
  <c r="D71" i="9"/>
  <c r="D70" i="9"/>
  <c r="D69" i="9"/>
  <c r="D67" i="9"/>
  <c r="D62" i="9"/>
  <c r="D61" i="9"/>
  <c r="D60" i="9"/>
  <c r="D59" i="9"/>
  <c r="D58" i="9"/>
  <c r="D57" i="9"/>
  <c r="D56" i="9"/>
  <c r="D55" i="9"/>
  <c r="D50" i="9"/>
  <c r="D49" i="9"/>
  <c r="D48" i="9"/>
  <c r="D47" i="9"/>
  <c r="D46" i="9"/>
  <c r="D45" i="9"/>
  <c r="D44" i="9"/>
  <c r="D38" i="9"/>
  <c r="D37" i="9"/>
  <c r="D36" i="9"/>
  <c r="D35" i="9"/>
  <c r="D34" i="9"/>
  <c r="D33" i="9"/>
  <c r="D32" i="9"/>
  <c r="D31" i="9"/>
  <c r="D140" i="9"/>
  <c r="D139" i="9"/>
  <c r="D127" i="9"/>
  <c r="D102" i="9"/>
  <c r="D129" i="9"/>
  <c r="D114" i="9"/>
  <c r="D103" i="9"/>
  <c r="D136" i="9"/>
  <c r="D126" i="9"/>
  <c r="D125" i="9"/>
  <c r="D124" i="9"/>
  <c r="D112" i="9"/>
  <c r="D101" i="9"/>
  <c r="D100" i="9"/>
  <c r="D89" i="9"/>
  <c r="D88" i="9"/>
  <c r="D76" i="9"/>
  <c r="D68" i="9"/>
  <c r="D66" i="9"/>
  <c r="D65" i="9"/>
  <c r="D64" i="9"/>
  <c r="D54" i="9"/>
  <c r="D53" i="9"/>
  <c r="D52" i="9"/>
  <c r="D43" i="9"/>
  <c r="D42" i="9"/>
  <c r="D41" i="9"/>
  <c r="D40" i="9"/>
  <c r="D21" i="9"/>
  <c r="D20" i="9"/>
  <c r="D14" i="9"/>
  <c r="D9" i="9"/>
  <c r="D87" i="9"/>
  <c r="D51" i="9"/>
  <c r="D171" i="9"/>
  <c r="D30" i="9"/>
  <c r="D29" i="9"/>
  <c r="D25" i="9"/>
  <c r="D23" i="9"/>
  <c r="D18" i="9"/>
  <c r="D135" i="9"/>
  <c r="D99" i="9"/>
  <c r="D63" i="9"/>
  <c r="D28" i="9"/>
  <c r="D123" i="9"/>
  <c r="D39" i="9"/>
  <c r="D75" i="9"/>
  <c r="D111" i="9"/>
  <c r="B6" i="9"/>
  <c r="B3" i="9"/>
  <c r="D26" i="9"/>
  <c r="D24" i="9"/>
  <c r="D22" i="9"/>
  <c r="D19" i="9"/>
  <c r="D17" i="9"/>
  <c r="D16" i="9"/>
  <c r="D147" i="9"/>
  <c r="D159" i="9"/>
  <c r="D15" i="9"/>
  <c r="E3" i="9"/>
  <c r="B42" i="7"/>
  <c r="D27" i="9"/>
  <c r="D13" i="8"/>
  <c r="C9" i="11"/>
  <c r="F12" i="8"/>
  <c r="I38" i="9" l="1"/>
  <c r="I170" i="9"/>
  <c r="B4" i="9"/>
  <c r="E4" i="9"/>
  <c r="F4" i="9" s="1"/>
  <c r="I50" i="9"/>
  <c r="I110" i="9"/>
  <c r="I62" i="9"/>
  <c r="C28" i="8"/>
  <c r="D5" i="8"/>
  <c r="I146" i="9"/>
  <c r="I98" i="9"/>
  <c r="D5" i="10"/>
  <c r="E6" i="11"/>
  <c r="F32" i="7"/>
  <c r="B7" i="9"/>
  <c r="E7" i="9"/>
  <c r="F7" i="9" s="1"/>
  <c r="G12" i="8"/>
  <c r="F3" i="9"/>
  <c r="D10" i="9"/>
  <c r="I158" i="9"/>
  <c r="I134" i="9"/>
  <c r="I122" i="9"/>
  <c r="E13" i="8"/>
  <c r="D14" i="8"/>
  <c r="D35" i="8" s="1"/>
  <c r="D38" i="8" s="1"/>
  <c r="I26" i="9"/>
  <c r="I86" i="9"/>
  <c r="I74" i="9"/>
  <c r="I182" i="9"/>
  <c r="B3" i="2"/>
  <c r="B14" i="11"/>
  <c r="M43" i="7" l="1"/>
  <c r="D11" i="9"/>
  <c r="F43" i="7"/>
  <c r="Q43" i="7"/>
  <c r="H43" i="7"/>
  <c r="O43" i="7"/>
  <c r="B8" i="9"/>
  <c r="E8" i="9"/>
  <c r="F8" i="9" s="1"/>
  <c r="J43" i="7"/>
  <c r="N43" i="7"/>
  <c r="K43" i="7"/>
  <c r="P43" i="7"/>
  <c r="F13" i="8"/>
  <c r="E14" i="8"/>
  <c r="E35" i="8" s="1"/>
  <c r="E38" i="8" s="1"/>
  <c r="D43" i="7"/>
  <c r="G32" i="7"/>
  <c r="F6" i="11"/>
  <c r="F9" i="11" s="1"/>
  <c r="E5" i="10"/>
  <c r="B5" i="9"/>
  <c r="E6" i="9" s="1"/>
  <c r="F6" i="9" s="1"/>
  <c r="E5" i="9"/>
  <c r="I43" i="7"/>
  <c r="L43" i="7"/>
  <c r="H12" i="8"/>
  <c r="E9" i="11"/>
  <c r="D28" i="8"/>
  <c r="E5" i="8"/>
  <c r="G43" i="7"/>
  <c r="E43" i="7"/>
  <c r="O7" i="8" l="1"/>
  <c r="N10" i="10"/>
  <c r="O10" i="11"/>
  <c r="Q10" i="11"/>
  <c r="Q7" i="8"/>
  <c r="P10" i="10"/>
  <c r="D12" i="9"/>
  <c r="G10" i="11"/>
  <c r="G7" i="8"/>
  <c r="F10" i="10"/>
  <c r="K7" i="8"/>
  <c r="J10" i="10"/>
  <c r="K10" i="11"/>
  <c r="N10" i="11"/>
  <c r="M10" i="10"/>
  <c r="N7" i="8"/>
  <c r="B9" i="9"/>
  <c r="E9" i="9"/>
  <c r="F9" i="9" s="1"/>
  <c r="I12" i="8"/>
  <c r="K10" i="10"/>
  <c r="L7" i="8"/>
  <c r="L30" i="8" s="1"/>
  <c r="L10" i="11"/>
  <c r="F5" i="9"/>
  <c r="H32" i="7"/>
  <c r="G6" i="11"/>
  <c r="F5" i="10"/>
  <c r="G13" i="8"/>
  <c r="F14" i="8"/>
  <c r="F35" i="8" s="1"/>
  <c r="F38" i="8" s="1"/>
  <c r="H10" i="11"/>
  <c r="H7" i="8"/>
  <c r="H30" i="8" s="1"/>
  <c r="G10" i="10"/>
  <c r="F10" i="11"/>
  <c r="F11" i="11" s="1"/>
  <c r="F7" i="8"/>
  <c r="E10" i="10"/>
  <c r="H10" i="10"/>
  <c r="I7" i="8"/>
  <c r="I10" i="11"/>
  <c r="E7" i="8"/>
  <c r="D10" i="10"/>
  <c r="E10" i="11"/>
  <c r="E11" i="11" s="1"/>
  <c r="E28" i="8"/>
  <c r="F5" i="8"/>
  <c r="D10" i="11"/>
  <c r="D11" i="11" s="1"/>
  <c r="D7" i="8"/>
  <c r="C10" i="10"/>
  <c r="P10" i="11"/>
  <c r="P7" i="8"/>
  <c r="P30" i="8" s="1"/>
  <c r="O10" i="10"/>
  <c r="I10" i="10"/>
  <c r="J7" i="8"/>
  <c r="J30" i="8" s="1"/>
  <c r="J10" i="11"/>
  <c r="M10" i="11"/>
  <c r="L10" i="10"/>
  <c r="M7" i="8"/>
  <c r="M30" i="8" s="1"/>
  <c r="F28" i="8" l="1"/>
  <c r="G5" i="8"/>
  <c r="E30" i="8"/>
  <c r="J12" i="8"/>
  <c r="K30" i="8"/>
  <c r="Q30" i="8"/>
  <c r="O30" i="8"/>
  <c r="F30" i="8"/>
  <c r="G9" i="11"/>
  <c r="I30" i="8"/>
  <c r="H6" i="11"/>
  <c r="H9" i="11" s="1"/>
  <c r="H11" i="11" s="1"/>
  <c r="G5" i="10"/>
  <c r="I32" i="7"/>
  <c r="E10" i="9"/>
  <c r="B10" i="9"/>
  <c r="H13" i="8"/>
  <c r="G14" i="8"/>
  <c r="G35" i="8" s="1"/>
  <c r="G38" i="8" s="1"/>
  <c r="N30" i="8"/>
  <c r="G30" i="8"/>
  <c r="D13" i="9"/>
  <c r="I14" i="9" l="1"/>
  <c r="F10" i="9"/>
  <c r="I13" i="8"/>
  <c r="H14" i="8"/>
  <c r="H35" i="8" s="1"/>
  <c r="H38" i="8" s="1"/>
  <c r="I6" i="11"/>
  <c r="I9" i="11" s="1"/>
  <c r="I11" i="11" s="1"/>
  <c r="H5" i="10"/>
  <c r="J32" i="7"/>
  <c r="K12" i="8"/>
  <c r="G28" i="8"/>
  <c r="H5" i="8"/>
  <c r="E11" i="9"/>
  <c r="B11" i="9"/>
  <c r="D195" i="9"/>
  <c r="G11" i="11"/>
  <c r="L12" i="8" l="1"/>
  <c r="C43" i="7"/>
  <c r="I195" i="9"/>
  <c r="F11" i="9"/>
  <c r="H28" i="8"/>
  <c r="I5" i="8"/>
  <c r="B12" i="9"/>
  <c r="E12" i="9"/>
  <c r="F12" i="9" s="1"/>
  <c r="J6" i="11"/>
  <c r="J9" i="11" s="1"/>
  <c r="K32" i="7"/>
  <c r="I5" i="10"/>
  <c r="J13" i="8"/>
  <c r="I14" i="8"/>
  <c r="I35" i="8" s="1"/>
  <c r="I38" i="8" s="1"/>
  <c r="I28" i="8" l="1"/>
  <c r="J5" i="8"/>
  <c r="L32" i="7"/>
  <c r="K6" i="11"/>
  <c r="K9" i="11" s="1"/>
  <c r="K11" i="11" s="1"/>
  <c r="J5" i="10"/>
  <c r="E13" i="9"/>
  <c r="F13" i="9" s="1"/>
  <c r="B13" i="9"/>
  <c r="M12" i="8"/>
  <c r="K13" i="8"/>
  <c r="J14" i="8"/>
  <c r="J35" i="8" s="1"/>
  <c r="J38" i="8" s="1"/>
  <c r="J11" i="11"/>
  <c r="C7" i="8"/>
  <c r="AB43" i="7"/>
  <c r="C10" i="11"/>
  <c r="B10" i="10"/>
  <c r="Q10" i="10" s="1"/>
  <c r="L13" i="8" l="1"/>
  <c r="K14" i="8"/>
  <c r="K35" i="8" s="1"/>
  <c r="K38" i="8" s="1"/>
  <c r="B14" i="9"/>
  <c r="E14" i="9"/>
  <c r="M32" i="7"/>
  <c r="L6" i="11"/>
  <c r="L9" i="11" s="1"/>
  <c r="K5" i="10"/>
  <c r="AB10" i="11"/>
  <c r="C11" i="11"/>
  <c r="N12" i="8"/>
  <c r="J28" i="8"/>
  <c r="K5" i="8"/>
  <c r="C30" i="8"/>
  <c r="D30" i="8"/>
  <c r="F14" i="9" l="1"/>
  <c r="H14" i="9"/>
  <c r="E15" i="9"/>
  <c r="B15" i="9"/>
  <c r="C42" i="7"/>
  <c r="O12" i="8"/>
  <c r="L11" i="11"/>
  <c r="K28" i="8"/>
  <c r="L5" i="8"/>
  <c r="N32" i="7"/>
  <c r="L5" i="10"/>
  <c r="M6" i="11"/>
  <c r="M9" i="11" s="1"/>
  <c r="M11" i="11" s="1"/>
  <c r="M13" i="8"/>
  <c r="L14" i="8"/>
  <c r="L35" i="8" s="1"/>
  <c r="L38" i="8" s="1"/>
  <c r="B16" i="9" l="1"/>
  <c r="E16" i="9"/>
  <c r="F16" i="9" s="1"/>
  <c r="P12" i="8"/>
  <c r="F15" i="9"/>
  <c r="O32" i="7"/>
  <c r="M5" i="10"/>
  <c r="N6" i="11"/>
  <c r="N9" i="11" s="1"/>
  <c r="N11" i="11" s="1"/>
  <c r="C31" i="7"/>
  <c r="J14" i="9"/>
  <c r="L28" i="8"/>
  <c r="M5" i="8"/>
  <c r="N13" i="8"/>
  <c r="M14" i="8"/>
  <c r="M35" i="8" s="1"/>
  <c r="M38" i="8" s="1"/>
  <c r="C45" i="7"/>
  <c r="C8" i="8"/>
  <c r="C31" i="8" s="1"/>
  <c r="P32" i="7" l="1"/>
  <c r="O6" i="11"/>
  <c r="O9" i="11" s="1"/>
  <c r="O11" i="11" s="1"/>
  <c r="N5" i="10"/>
  <c r="Q12" i="8"/>
  <c r="M28" i="8"/>
  <c r="N5" i="8"/>
  <c r="C5" i="11"/>
  <c r="B6" i="10"/>
  <c r="C34" i="7"/>
  <c r="O13" i="8"/>
  <c r="N14" i="8"/>
  <c r="N35" i="8" s="1"/>
  <c r="N38" i="8" s="1"/>
  <c r="E17" i="9"/>
  <c r="B17" i="9"/>
  <c r="C38" i="7" l="1"/>
  <c r="C4" i="11"/>
  <c r="R12" i="8"/>
  <c r="N28" i="8"/>
  <c r="O5" i="8"/>
  <c r="B18" i="9"/>
  <c r="E18" i="9"/>
  <c r="F18" i="9" s="1"/>
  <c r="P13" i="8"/>
  <c r="O14" i="8"/>
  <c r="O35" i="8" s="1"/>
  <c r="O38" i="8" s="1"/>
  <c r="B9" i="10"/>
  <c r="F17" i="9"/>
  <c r="O5" i="10"/>
  <c r="Q32" i="7"/>
  <c r="P6" i="11"/>
  <c r="P9" i="11" s="1"/>
  <c r="P11" i="11" s="1"/>
  <c r="B11" i="10" l="1"/>
  <c r="S12" i="8"/>
  <c r="P5" i="10"/>
  <c r="Q5" i="10" s="1"/>
  <c r="R32" i="7"/>
  <c r="Q6" i="11"/>
  <c r="Q9" i="11" s="1"/>
  <c r="Q11" i="11" s="1"/>
  <c r="Q13" i="8"/>
  <c r="P14" i="8"/>
  <c r="P35" i="8" s="1"/>
  <c r="P38" i="8" s="1"/>
  <c r="C7" i="11"/>
  <c r="B19" i="9"/>
  <c r="E19" i="9"/>
  <c r="O28" i="8"/>
  <c r="P5" i="8"/>
  <c r="C6" i="8"/>
  <c r="C39" i="7"/>
  <c r="B4" i="10"/>
  <c r="B20" i="9" l="1"/>
  <c r="E20" i="9"/>
  <c r="F20" i="9" s="1"/>
  <c r="R13" i="8"/>
  <c r="Q14" i="8"/>
  <c r="Q35" i="8" s="1"/>
  <c r="Q38" i="8" s="1"/>
  <c r="T12" i="8"/>
  <c r="R6" i="11"/>
  <c r="R9" i="11" s="1"/>
  <c r="R11" i="11" s="1"/>
  <c r="R34" i="7"/>
  <c r="S32" i="7"/>
  <c r="B7" i="10"/>
  <c r="P28" i="8"/>
  <c r="Q5" i="8"/>
  <c r="C29" i="8"/>
  <c r="C32" i="8" s="1"/>
  <c r="C41" i="8" s="1"/>
  <c r="C42" i="8" s="1"/>
  <c r="D40" i="8" s="1"/>
  <c r="C10" i="8"/>
  <c r="C16" i="8" s="1"/>
  <c r="C19" i="8" s="1"/>
  <c r="C21" i="8" s="1"/>
  <c r="C16" i="11"/>
  <c r="C17" i="11"/>
  <c r="F19" i="9"/>
  <c r="S13" i="8" l="1"/>
  <c r="R14" i="8"/>
  <c r="Q28" i="8"/>
  <c r="R5" i="8"/>
  <c r="S34" i="7"/>
  <c r="T32" i="7"/>
  <c r="S6" i="11"/>
  <c r="S9" i="11" s="1"/>
  <c r="S11" i="11" s="1"/>
  <c r="U12" i="8"/>
  <c r="B13" i="10"/>
  <c r="B15" i="10"/>
  <c r="R4" i="11"/>
  <c r="R7" i="11" s="1"/>
  <c r="R38" i="7"/>
  <c r="R39" i="7" s="1"/>
  <c r="B21" i="9"/>
  <c r="E21" i="9"/>
  <c r="F21" i="9" l="1"/>
  <c r="E22" i="9"/>
  <c r="F22" i="9" s="1"/>
  <c r="B22" i="9"/>
  <c r="S38" i="7"/>
  <c r="S39" i="7" s="1"/>
  <c r="S4" i="11"/>
  <c r="S7" i="11" s="1"/>
  <c r="T34" i="7"/>
  <c r="T6" i="11"/>
  <c r="T9" i="11" s="1"/>
  <c r="T11" i="11" s="1"/>
  <c r="U32" i="7"/>
  <c r="V12" i="8"/>
  <c r="T13" i="8"/>
  <c r="S14" i="8"/>
  <c r="R16" i="11"/>
  <c r="R17" i="11"/>
  <c r="S5" i="8"/>
  <c r="T4" i="11" l="1"/>
  <c r="T7" i="11" s="1"/>
  <c r="T38" i="7"/>
  <c r="T39" i="7" s="1"/>
  <c r="S16" i="11"/>
  <c r="S17" i="11"/>
  <c r="W12" i="8"/>
  <c r="T5" i="8"/>
  <c r="V32" i="7"/>
  <c r="U34" i="7"/>
  <c r="U6" i="11"/>
  <c r="U9" i="11" s="1"/>
  <c r="U11" i="11" s="1"/>
  <c r="U13" i="8"/>
  <c r="T14" i="8"/>
  <c r="B23" i="9"/>
  <c r="E23" i="9"/>
  <c r="F23" i="9" s="1"/>
  <c r="U5" i="8" l="1"/>
  <c r="E24" i="9"/>
  <c r="F24" i="9" s="1"/>
  <c r="B24" i="9"/>
  <c r="U4" i="11"/>
  <c r="U7" i="11" s="1"/>
  <c r="U38" i="7"/>
  <c r="U39" i="7" s="1"/>
  <c r="X12" i="8"/>
  <c r="V13" i="8"/>
  <c r="U14" i="8"/>
  <c r="V6" i="11"/>
  <c r="W32" i="7"/>
  <c r="V34" i="7"/>
  <c r="T17" i="11"/>
  <c r="T16" i="11"/>
  <c r="B25" i="9" l="1"/>
  <c r="E25" i="9"/>
  <c r="F25" i="9" s="1"/>
  <c r="W34" i="7"/>
  <c r="X32" i="7"/>
  <c r="W6" i="11"/>
  <c r="W9" i="11" s="1"/>
  <c r="W11" i="11" s="1"/>
  <c r="Y12" i="8"/>
  <c r="V9" i="11"/>
  <c r="AB6" i="11"/>
  <c r="V38" i="7"/>
  <c r="V39" i="7" s="1"/>
  <c r="V4" i="11"/>
  <c r="V7" i="11" s="1"/>
  <c r="W13" i="8"/>
  <c r="V14" i="8"/>
  <c r="U17" i="11"/>
  <c r="U16" i="11"/>
  <c r="V5" i="8"/>
  <c r="V11" i="11" l="1"/>
  <c r="AB9" i="11"/>
  <c r="AB11" i="11" s="1"/>
  <c r="X34" i="7"/>
  <c r="Y32" i="7"/>
  <c r="X6" i="11"/>
  <c r="X9" i="11" s="1"/>
  <c r="X11" i="11" s="1"/>
  <c r="X13" i="8"/>
  <c r="W14" i="8"/>
  <c r="Z12" i="8"/>
  <c r="W4" i="11"/>
  <c r="W7" i="11" s="1"/>
  <c r="W38" i="7"/>
  <c r="W39" i="7" s="1"/>
  <c r="V17" i="11"/>
  <c r="V16" i="11"/>
  <c r="W5" i="8"/>
  <c r="E26" i="9"/>
  <c r="B26" i="9"/>
  <c r="Z32" i="7" l="1"/>
  <c r="Y6" i="11"/>
  <c r="Y9" i="11" s="1"/>
  <c r="Y11" i="11" s="1"/>
  <c r="Y34" i="7"/>
  <c r="X38" i="7"/>
  <c r="X39" i="7" s="1"/>
  <c r="X4" i="11"/>
  <c r="X7" i="11" s="1"/>
  <c r="F26" i="9"/>
  <c r="H26" i="9"/>
  <c r="W17" i="11"/>
  <c r="W16" i="11"/>
  <c r="Y13" i="8"/>
  <c r="X14" i="8"/>
  <c r="AA12" i="8"/>
  <c r="X5" i="8"/>
  <c r="E27" i="9"/>
  <c r="B27" i="9"/>
  <c r="D42" i="7"/>
  <c r="F27" i="9" l="1"/>
  <c r="D31" i="7"/>
  <c r="J26" i="9"/>
  <c r="Y4" i="11"/>
  <c r="Y7" i="11" s="1"/>
  <c r="Y38" i="7"/>
  <c r="Y39" i="7" s="1"/>
  <c r="Y5" i="8"/>
  <c r="D45" i="7"/>
  <c r="D8" i="8"/>
  <c r="D31" i="8" s="1"/>
  <c r="Z13" i="8"/>
  <c r="Y14" i="8"/>
  <c r="E28" i="9"/>
  <c r="F28" i="9" s="1"/>
  <c r="B28" i="9"/>
  <c r="X17" i="11"/>
  <c r="X16" i="11"/>
  <c r="AA32" i="7"/>
  <c r="Z6" i="11"/>
  <c r="Z9" i="11" s="1"/>
  <c r="Z11" i="11" s="1"/>
  <c r="Z34" i="7"/>
  <c r="AA34" i="7" l="1"/>
  <c r="AA6" i="11"/>
  <c r="AA9" i="11" s="1"/>
  <c r="AA11" i="11" s="1"/>
  <c r="D34" i="7"/>
  <c r="C6" i="10"/>
  <c r="D5" i="11"/>
  <c r="B29" i="9"/>
  <c r="E29" i="9"/>
  <c r="F29" i="9" s="1"/>
  <c r="Z5" i="8"/>
  <c r="Y17" i="11"/>
  <c r="Y16" i="11"/>
  <c r="Z4" i="11"/>
  <c r="Z7" i="11" s="1"/>
  <c r="Z38" i="7"/>
  <c r="Z39" i="7" s="1"/>
  <c r="AA13" i="8"/>
  <c r="AA14" i="8" s="1"/>
  <c r="Z14" i="8"/>
  <c r="E30" i="9" l="1"/>
  <c r="B30" i="9"/>
  <c r="D38" i="7"/>
  <c r="D4" i="11"/>
  <c r="AA5" i="8"/>
  <c r="AA4" i="11"/>
  <c r="AA7" i="11" s="1"/>
  <c r="AA38" i="7"/>
  <c r="AA39" i="7" s="1"/>
  <c r="Z17" i="11"/>
  <c r="Z16" i="11"/>
  <c r="C9" i="10"/>
  <c r="D7" i="11" l="1"/>
  <c r="C4" i="10"/>
  <c r="D39" i="7"/>
  <c r="D6" i="8"/>
  <c r="AA16" i="11"/>
  <c r="AA17" i="11"/>
  <c r="B31" i="9"/>
  <c r="E31" i="9"/>
  <c r="F31" i="9" s="1"/>
  <c r="C11" i="10"/>
  <c r="F30" i="9"/>
  <c r="B32" i="9" l="1"/>
  <c r="E32" i="9"/>
  <c r="C7" i="10"/>
  <c r="D29" i="8"/>
  <c r="D32" i="8" s="1"/>
  <c r="D41" i="8" s="1"/>
  <c r="D42" i="8" s="1"/>
  <c r="E40" i="8" s="1"/>
  <c r="D10" i="8"/>
  <c r="D16" i="8" s="1"/>
  <c r="D19" i="8" s="1"/>
  <c r="D21" i="8" s="1"/>
  <c r="D16" i="11"/>
  <c r="D17" i="11"/>
  <c r="C15" i="10" l="1"/>
  <c r="C13" i="10"/>
  <c r="F32" i="9"/>
  <c r="B33" i="9"/>
  <c r="E33" i="9"/>
  <c r="F33" i="9" s="1"/>
  <c r="B34" i="9" l="1"/>
  <c r="E34" i="9"/>
  <c r="F34" i="9" s="1"/>
  <c r="B35" i="9" l="1"/>
  <c r="E35" i="9"/>
  <c r="F35" i="9" s="1"/>
  <c r="B36" i="9" l="1"/>
  <c r="E36" i="9"/>
  <c r="F36" i="9" s="1"/>
  <c r="B37" i="9" l="1"/>
  <c r="E37" i="9"/>
  <c r="F37" i="9" s="1"/>
  <c r="B38" i="9" l="1"/>
  <c r="E38" i="9"/>
  <c r="F38" i="9" l="1"/>
  <c r="H38" i="9"/>
  <c r="B39" i="9"/>
  <c r="E42" i="7"/>
  <c r="E39" i="9"/>
  <c r="E45" i="7" l="1"/>
  <c r="E8" i="8"/>
  <c r="E31" i="8" s="1"/>
  <c r="B40" i="9"/>
  <c r="E40" i="9"/>
  <c r="F40" i="9" s="1"/>
  <c r="E31" i="7"/>
  <c r="J38" i="9"/>
  <c r="F39" i="9"/>
  <c r="B41" i="9" l="1"/>
  <c r="E41" i="9"/>
  <c r="E5" i="11"/>
  <c r="D6" i="10"/>
  <c r="E34" i="7"/>
  <c r="E4" i="11" l="1"/>
  <c r="E38" i="7"/>
  <c r="F41" i="9"/>
  <c r="D9" i="10"/>
  <c r="B42" i="9"/>
  <c r="E42" i="9"/>
  <c r="F42" i="9" s="1"/>
  <c r="D4" i="10" l="1"/>
  <c r="E39" i="7"/>
  <c r="E6" i="8"/>
  <c r="D11" i="10"/>
  <c r="E7" i="11"/>
  <c r="B43" i="9"/>
  <c r="E43" i="9"/>
  <c r="F43" i="9" s="1"/>
  <c r="E29" i="8" l="1"/>
  <c r="E32" i="8" s="1"/>
  <c r="E41" i="8" s="1"/>
  <c r="E42" i="8" s="1"/>
  <c r="F40" i="8" s="1"/>
  <c r="E10" i="8"/>
  <c r="E16" i="8" s="1"/>
  <c r="E19" i="8" s="1"/>
  <c r="E21" i="8" s="1"/>
  <c r="E16" i="11"/>
  <c r="E17" i="11"/>
  <c r="B44" i="9"/>
  <c r="E44" i="9"/>
  <c r="D7" i="10"/>
  <c r="F44" i="9" l="1"/>
  <c r="D15" i="10"/>
  <c r="D13" i="10"/>
  <c r="B45" i="9"/>
  <c r="E45" i="9"/>
  <c r="F45" i="9" s="1"/>
  <c r="B46" i="9" l="1"/>
  <c r="E46" i="9"/>
  <c r="F46" i="9" l="1"/>
  <c r="B47" i="9"/>
  <c r="E47" i="9"/>
  <c r="F47" i="9" s="1"/>
  <c r="B48" i="9" l="1"/>
  <c r="E48" i="9"/>
  <c r="F48" i="9" s="1"/>
  <c r="B49" i="9" l="1"/>
  <c r="E49" i="9"/>
  <c r="F49" i="9" s="1"/>
  <c r="B50" i="9" l="1"/>
  <c r="E50" i="9"/>
  <c r="F50" i="9" l="1"/>
  <c r="H50" i="9"/>
  <c r="B51" i="9"/>
  <c r="F42" i="7"/>
  <c r="E51" i="9"/>
  <c r="F45" i="7" l="1"/>
  <c r="F8" i="8"/>
  <c r="F31" i="8" s="1"/>
  <c r="B52" i="9"/>
  <c r="E52" i="9"/>
  <c r="F52" i="9" s="1"/>
  <c r="F31" i="7"/>
  <c r="J50" i="9"/>
  <c r="F51" i="9"/>
  <c r="B53" i="9" l="1"/>
  <c r="E53" i="9"/>
  <c r="F5" i="11"/>
  <c r="F34" i="7"/>
  <c r="E6" i="10"/>
  <c r="F4" i="11" l="1"/>
  <c r="F38" i="7"/>
  <c r="F53" i="9"/>
  <c r="E9" i="10"/>
  <c r="B54" i="9"/>
  <c r="E54" i="9"/>
  <c r="F54" i="9" s="1"/>
  <c r="F39" i="7" l="1"/>
  <c r="E4" i="10"/>
  <c r="F6" i="8"/>
  <c r="B55" i="9"/>
  <c r="E55" i="9"/>
  <c r="E11" i="10"/>
  <c r="F7" i="11"/>
  <c r="F29" i="8" l="1"/>
  <c r="F32" i="8" s="1"/>
  <c r="F41" i="8" s="1"/>
  <c r="F42" i="8" s="1"/>
  <c r="G40" i="8" s="1"/>
  <c r="F10" i="8"/>
  <c r="F16" i="8" s="1"/>
  <c r="F19" i="8" s="1"/>
  <c r="F21" i="8" s="1"/>
  <c r="B56" i="9"/>
  <c r="E56" i="9"/>
  <c r="F56" i="9" s="1"/>
  <c r="E7" i="10"/>
  <c r="F16" i="11"/>
  <c r="F17" i="11"/>
  <c r="F55" i="9"/>
  <c r="B57" i="9" l="1"/>
  <c r="E57" i="9"/>
  <c r="E13" i="10"/>
  <c r="E15" i="10"/>
  <c r="F57" i="9" l="1"/>
  <c r="B58" i="9"/>
  <c r="E58" i="9"/>
  <c r="F58" i="9" s="1"/>
  <c r="B59" i="9" l="1"/>
  <c r="E59" i="9"/>
  <c r="F59" i="9" s="1"/>
  <c r="B60" i="9" l="1"/>
  <c r="E60" i="9"/>
  <c r="F60" i="9" s="1"/>
  <c r="B61" i="9" l="1"/>
  <c r="E61" i="9"/>
  <c r="F61" i="9" s="1"/>
  <c r="B62" i="9" l="1"/>
  <c r="E62" i="9"/>
  <c r="F62" i="9" l="1"/>
  <c r="H62" i="9"/>
  <c r="B63" i="9"/>
  <c r="G42" i="7"/>
  <c r="E63" i="9"/>
  <c r="G31" i="7" l="1"/>
  <c r="J62" i="9"/>
  <c r="G45" i="7"/>
  <c r="G8" i="8"/>
  <c r="G31" i="8" s="1"/>
  <c r="B64" i="9"/>
  <c r="E64" i="9"/>
  <c r="F64" i="9" s="1"/>
  <c r="F63" i="9"/>
  <c r="B65" i="9" l="1"/>
  <c r="E65" i="9"/>
  <c r="F6" i="10"/>
  <c r="G34" i="7"/>
  <c r="G5" i="11"/>
  <c r="G38" i="7" l="1"/>
  <c r="G4" i="11"/>
  <c r="F9" i="10"/>
  <c r="F65" i="9"/>
  <c r="B66" i="9"/>
  <c r="E66" i="9"/>
  <c r="F66" i="9" s="1"/>
  <c r="B67" i="9" l="1"/>
  <c r="E67" i="9"/>
  <c r="F67" i="9" s="1"/>
  <c r="G7" i="11"/>
  <c r="F11" i="10"/>
  <c r="F4" i="10"/>
  <c r="G39" i="7"/>
  <c r="G6" i="8"/>
  <c r="F7" i="10" l="1"/>
  <c r="G16" i="11"/>
  <c r="G17" i="11"/>
  <c r="G29" i="8"/>
  <c r="G32" i="8" s="1"/>
  <c r="G41" i="8" s="1"/>
  <c r="G42" i="8" s="1"/>
  <c r="H40" i="8" s="1"/>
  <c r="G10" i="8"/>
  <c r="G16" i="8" s="1"/>
  <c r="G19" i="8" s="1"/>
  <c r="G21" i="8" s="1"/>
  <c r="B68" i="9"/>
  <c r="E68" i="9"/>
  <c r="B69" i="9" l="1"/>
  <c r="E69" i="9"/>
  <c r="F69" i="9" s="1"/>
  <c r="F68" i="9"/>
  <c r="F15" i="10"/>
  <c r="F13" i="10"/>
  <c r="B70" i="9" l="1"/>
  <c r="E70" i="9"/>
  <c r="F70" i="9" s="1"/>
  <c r="B71" i="9" l="1"/>
  <c r="E71" i="9"/>
  <c r="F71" i="9" s="1"/>
  <c r="B72" i="9" l="1"/>
  <c r="E72" i="9"/>
  <c r="F72" i="9" s="1"/>
  <c r="B73" i="9" l="1"/>
  <c r="E73" i="9"/>
  <c r="F73" i="9" s="1"/>
  <c r="B74" i="9" l="1"/>
  <c r="E74" i="9"/>
  <c r="F74" i="9" l="1"/>
  <c r="H74" i="9"/>
  <c r="E75" i="9"/>
  <c r="B75" i="9"/>
  <c r="H42" i="7"/>
  <c r="F75" i="9" l="1"/>
  <c r="B76" i="9"/>
  <c r="E76" i="9"/>
  <c r="F76" i="9" s="1"/>
  <c r="H31" i="7"/>
  <c r="J74" i="9"/>
  <c r="H45" i="7"/>
  <c r="H8" i="8"/>
  <c r="H31" i="8" s="1"/>
  <c r="B77" i="9" l="1"/>
  <c r="E77" i="9"/>
  <c r="F77" i="9" s="1"/>
  <c r="H34" i="7"/>
  <c r="H5" i="11"/>
  <c r="G6" i="10"/>
  <c r="G9" i="10" s="1"/>
  <c r="G11" i="10" s="1"/>
  <c r="H38" i="7" l="1"/>
  <c r="H4" i="11"/>
  <c r="H7" i="11" s="1"/>
  <c r="B78" i="9"/>
  <c r="E78" i="9"/>
  <c r="F78" i="9" l="1"/>
  <c r="B79" i="9"/>
  <c r="E79" i="9"/>
  <c r="F79" i="9" s="1"/>
  <c r="H16" i="11"/>
  <c r="H17" i="11"/>
  <c r="G4" i="10"/>
  <c r="G7" i="10" s="1"/>
  <c r="H39" i="7"/>
  <c r="H6" i="8"/>
  <c r="G13" i="10" l="1"/>
  <c r="G15" i="10"/>
  <c r="B80" i="9"/>
  <c r="E80" i="9"/>
  <c r="F80" i="9" s="1"/>
  <c r="H29" i="8"/>
  <c r="H32" i="8" s="1"/>
  <c r="H41" i="8" s="1"/>
  <c r="H42" i="8" s="1"/>
  <c r="I40" i="8" s="1"/>
  <c r="H10" i="8"/>
  <c r="H16" i="8" s="1"/>
  <c r="H19" i="8" s="1"/>
  <c r="H21" i="8" s="1"/>
  <c r="B81" i="9" l="1"/>
  <c r="E81" i="9"/>
  <c r="F81" i="9" l="1"/>
  <c r="B82" i="9"/>
  <c r="E82" i="9"/>
  <c r="F82" i="9" s="1"/>
  <c r="B83" i="9" l="1"/>
  <c r="E83" i="9"/>
  <c r="F83" i="9" s="1"/>
  <c r="B84" i="9" l="1"/>
  <c r="E84" i="9"/>
  <c r="F84" i="9" s="1"/>
  <c r="B85" i="9" l="1"/>
  <c r="E85" i="9"/>
  <c r="F85" i="9" s="1"/>
  <c r="B86" i="9" l="1"/>
  <c r="E86" i="9"/>
  <c r="F86" i="9" l="1"/>
  <c r="H86" i="9"/>
  <c r="B87" i="9"/>
  <c r="I42" i="7"/>
  <c r="E87" i="9"/>
  <c r="I45" i="7" l="1"/>
  <c r="I8" i="8"/>
  <c r="I31" i="8" s="1"/>
  <c r="B88" i="9"/>
  <c r="E88" i="9"/>
  <c r="F88" i="9" s="1"/>
  <c r="I31" i="7"/>
  <c r="J86" i="9"/>
  <c r="F87" i="9"/>
  <c r="B89" i="9" l="1"/>
  <c r="E89" i="9"/>
  <c r="F89" i="9" s="1"/>
  <c r="I34" i="7"/>
  <c r="I5" i="11"/>
  <c r="H6" i="10"/>
  <c r="H9" i="10" s="1"/>
  <c r="H11" i="10" s="1"/>
  <c r="I4" i="11" l="1"/>
  <c r="I7" i="11" s="1"/>
  <c r="I38" i="7"/>
  <c r="B90" i="9"/>
  <c r="E90" i="9"/>
  <c r="F90" i="9" s="1"/>
  <c r="B91" i="9" l="1"/>
  <c r="E91" i="9"/>
  <c r="F91" i="9" s="1"/>
  <c r="H4" i="10"/>
  <c r="H7" i="10" s="1"/>
  <c r="I39" i="7"/>
  <c r="I6" i="8"/>
  <c r="I16" i="11"/>
  <c r="I17" i="11"/>
  <c r="H13" i="10" l="1"/>
  <c r="H15" i="10"/>
  <c r="I29" i="8"/>
  <c r="I32" i="8" s="1"/>
  <c r="I41" i="8" s="1"/>
  <c r="I42" i="8" s="1"/>
  <c r="J40" i="8" s="1"/>
  <c r="I10" i="8"/>
  <c r="I16" i="8" s="1"/>
  <c r="I19" i="8" s="1"/>
  <c r="I21" i="8" s="1"/>
  <c r="B92" i="9"/>
  <c r="E92" i="9"/>
  <c r="F92" i="9" l="1"/>
  <c r="B93" i="9"/>
  <c r="E93" i="9"/>
  <c r="F93" i="9" s="1"/>
  <c r="B94" i="9" l="1"/>
  <c r="E94" i="9"/>
  <c r="F94" i="9" s="1"/>
  <c r="B95" i="9" l="1"/>
  <c r="E95" i="9"/>
  <c r="F95" i="9" s="1"/>
  <c r="B96" i="9" l="1"/>
  <c r="E96" i="9"/>
  <c r="F96" i="9" s="1"/>
  <c r="B97" i="9" l="1"/>
  <c r="E97" i="9"/>
  <c r="F97" i="9" s="1"/>
  <c r="B98" i="9" l="1"/>
  <c r="E98" i="9"/>
  <c r="F98" i="9" l="1"/>
  <c r="H98" i="9"/>
  <c r="B99" i="9"/>
  <c r="J42" i="7"/>
  <c r="E99" i="9"/>
  <c r="J45" i="7" l="1"/>
  <c r="J8" i="8"/>
  <c r="J31" i="8" s="1"/>
  <c r="B100" i="9"/>
  <c r="E100" i="9"/>
  <c r="F100" i="9" s="1"/>
  <c r="J31" i="7"/>
  <c r="J98" i="9"/>
  <c r="F99" i="9"/>
  <c r="B101" i="9" l="1"/>
  <c r="E101" i="9"/>
  <c r="F101" i="9" s="1"/>
  <c r="J5" i="11"/>
  <c r="J34" i="7"/>
  <c r="I6" i="10"/>
  <c r="I9" i="10" s="1"/>
  <c r="I11" i="10" s="1"/>
  <c r="J4" i="11" l="1"/>
  <c r="J7" i="11" s="1"/>
  <c r="J38" i="7"/>
  <c r="E102" i="9"/>
  <c r="B102" i="9"/>
  <c r="F102" i="9" l="1"/>
  <c r="E103" i="9"/>
  <c r="F103" i="9" s="1"/>
  <c r="B103" i="9"/>
  <c r="J39" i="7"/>
  <c r="I4" i="10"/>
  <c r="I7" i="10" s="1"/>
  <c r="J6" i="8"/>
  <c r="J16" i="11"/>
  <c r="J17" i="11"/>
  <c r="B104" i="9" l="1"/>
  <c r="E104" i="9"/>
  <c r="F104" i="9" s="1"/>
  <c r="J29" i="8"/>
  <c r="J32" i="8" s="1"/>
  <c r="J41" i="8" s="1"/>
  <c r="J42" i="8" s="1"/>
  <c r="K40" i="8" s="1"/>
  <c r="J10" i="8"/>
  <c r="J16" i="8" s="1"/>
  <c r="J19" i="8" s="1"/>
  <c r="J21" i="8" s="1"/>
  <c r="I15" i="10"/>
  <c r="I13" i="10"/>
  <c r="B105" i="9" l="1"/>
  <c r="E105" i="9"/>
  <c r="F105" i="9" l="1"/>
  <c r="B106" i="9"/>
  <c r="E106" i="9"/>
  <c r="F106" i="9" s="1"/>
  <c r="B107" i="9" l="1"/>
  <c r="E107" i="9"/>
  <c r="F107" i="9" s="1"/>
  <c r="B108" i="9" l="1"/>
  <c r="E108" i="9"/>
  <c r="F108" i="9" s="1"/>
  <c r="B109" i="9" l="1"/>
  <c r="E109" i="9"/>
  <c r="F109" i="9" s="1"/>
  <c r="B110" i="9" l="1"/>
  <c r="E110" i="9"/>
  <c r="F110" i="9" l="1"/>
  <c r="H110" i="9"/>
  <c r="K42" i="7"/>
  <c r="B111" i="9"/>
  <c r="E111" i="9"/>
  <c r="B112" i="9" l="1"/>
  <c r="E112" i="9"/>
  <c r="F112" i="9" s="1"/>
  <c r="K45" i="7"/>
  <c r="K8" i="8"/>
  <c r="K31" i="8" s="1"/>
  <c r="K31" i="7"/>
  <c r="J110" i="9"/>
  <c r="F111" i="9"/>
  <c r="K5" i="11" l="1"/>
  <c r="J6" i="10"/>
  <c r="J9" i="10" s="1"/>
  <c r="J11" i="10" s="1"/>
  <c r="K34" i="7"/>
  <c r="E113" i="9"/>
  <c r="B113" i="9"/>
  <c r="F113" i="9" l="1"/>
  <c r="K4" i="11"/>
  <c r="K7" i="11" s="1"/>
  <c r="K38" i="7"/>
  <c r="E114" i="9"/>
  <c r="F114" i="9" s="1"/>
  <c r="B114" i="9"/>
  <c r="K39" i="7" l="1"/>
  <c r="J4" i="10"/>
  <c r="J7" i="10" s="1"/>
  <c r="K6" i="8"/>
  <c r="B115" i="9"/>
  <c r="E115" i="9"/>
  <c r="K17" i="11"/>
  <c r="K16" i="11"/>
  <c r="J15" i="10" l="1"/>
  <c r="J13" i="10"/>
  <c r="B116" i="9"/>
  <c r="E116" i="9"/>
  <c r="F116" i="9" s="1"/>
  <c r="K29" i="8"/>
  <c r="K32" i="8" s="1"/>
  <c r="K41" i="8" s="1"/>
  <c r="K42" i="8" s="1"/>
  <c r="L40" i="8" s="1"/>
  <c r="K10" i="8"/>
  <c r="K16" i="8" s="1"/>
  <c r="K19" i="8" s="1"/>
  <c r="K21" i="8" s="1"/>
  <c r="F115" i="9"/>
  <c r="B117" i="9" l="1"/>
  <c r="E117" i="9"/>
  <c r="F117" i="9" s="1"/>
  <c r="B118" i="9" l="1"/>
  <c r="E118" i="9"/>
  <c r="F118" i="9" l="1"/>
  <c r="B119" i="9"/>
  <c r="E119" i="9"/>
  <c r="F119" i="9" s="1"/>
  <c r="B120" i="9" l="1"/>
  <c r="E120" i="9"/>
  <c r="F120" i="9" s="1"/>
  <c r="B121" i="9" l="1"/>
  <c r="E121" i="9"/>
  <c r="F121" i="9" s="1"/>
  <c r="B122" i="9" l="1"/>
  <c r="E122" i="9"/>
  <c r="F122" i="9" l="1"/>
  <c r="H122" i="9"/>
  <c r="B123" i="9"/>
  <c r="L42" i="7"/>
  <c r="E123" i="9"/>
  <c r="L45" i="7" l="1"/>
  <c r="L8" i="8"/>
  <c r="L31" i="8" s="1"/>
  <c r="B124" i="9"/>
  <c r="E124" i="9"/>
  <c r="F124" i="9" s="1"/>
  <c r="L31" i="7"/>
  <c r="J122" i="9"/>
  <c r="F123" i="9"/>
  <c r="B125" i="9" l="1"/>
  <c r="E125" i="9"/>
  <c r="F125" i="9" s="1"/>
  <c r="L34" i="7"/>
  <c r="L5" i="11"/>
  <c r="K6" i="10"/>
  <c r="K9" i="10" s="1"/>
  <c r="K11" i="10" s="1"/>
  <c r="L38" i="7" l="1"/>
  <c r="L4" i="11"/>
  <c r="L7" i="11" s="1"/>
  <c r="B126" i="9"/>
  <c r="E126" i="9"/>
  <c r="F126" i="9" s="1"/>
  <c r="L16" i="11" l="1"/>
  <c r="L17" i="11"/>
  <c r="B127" i="9"/>
  <c r="E127" i="9"/>
  <c r="F127" i="9" s="1"/>
  <c r="K4" i="10"/>
  <c r="K7" i="10" s="1"/>
  <c r="L39" i="7"/>
  <c r="L6" i="8"/>
  <c r="L29" i="8" l="1"/>
  <c r="L32" i="8" s="1"/>
  <c r="L41" i="8" s="1"/>
  <c r="L42" i="8" s="1"/>
  <c r="M40" i="8" s="1"/>
  <c r="L10" i="8"/>
  <c r="L16" i="8" s="1"/>
  <c r="L19" i="8" s="1"/>
  <c r="L21" i="8" s="1"/>
  <c r="K13" i="10"/>
  <c r="K15" i="10"/>
  <c r="E128" i="9"/>
  <c r="F128" i="9" s="1"/>
  <c r="B128" i="9"/>
  <c r="E129" i="9" l="1"/>
  <c r="F129" i="9" s="1"/>
  <c r="B129" i="9"/>
  <c r="B130" i="9" l="1"/>
  <c r="E130" i="9"/>
  <c r="F130" i="9" s="1"/>
  <c r="B131" i="9" l="1"/>
  <c r="E131" i="9"/>
  <c r="F131" i="9" s="1"/>
  <c r="B132" i="9" l="1"/>
  <c r="E132" i="9"/>
  <c r="F132" i="9" s="1"/>
  <c r="B133" i="9" l="1"/>
  <c r="E133" i="9"/>
  <c r="F133" i="9" s="1"/>
  <c r="B134" i="9" l="1"/>
  <c r="E134" i="9"/>
  <c r="F134" i="9" l="1"/>
  <c r="H134" i="9"/>
  <c r="E135" i="9"/>
  <c r="B135" i="9"/>
  <c r="M42" i="7"/>
  <c r="M31" i="7" l="1"/>
  <c r="J134" i="9"/>
  <c r="B136" i="9"/>
  <c r="E136" i="9"/>
  <c r="F136" i="9" s="1"/>
  <c r="F135" i="9"/>
  <c r="M45" i="7"/>
  <c r="M8" i="8"/>
  <c r="M31" i="8" s="1"/>
  <c r="B137" i="9" l="1"/>
  <c r="E137" i="9"/>
  <c r="F137" i="9" s="1"/>
  <c r="M34" i="7"/>
  <c r="M5" i="11"/>
  <c r="L6" i="10"/>
  <c r="L9" i="10" s="1"/>
  <c r="L11" i="10" s="1"/>
  <c r="M38" i="7" l="1"/>
  <c r="M4" i="11"/>
  <c r="M7" i="11" s="1"/>
  <c r="B138" i="9"/>
  <c r="E138" i="9"/>
  <c r="B139" i="9" l="1"/>
  <c r="E139" i="9"/>
  <c r="F139" i="9" s="1"/>
  <c r="F138" i="9"/>
  <c r="M16" i="11"/>
  <c r="M17" i="11"/>
  <c r="L4" i="10"/>
  <c r="L7" i="10" s="1"/>
  <c r="M39" i="7"/>
  <c r="M6" i="8"/>
  <c r="L13" i="10" l="1"/>
  <c r="L15" i="10"/>
  <c r="M29" i="8"/>
  <c r="M32" i="8" s="1"/>
  <c r="M41" i="8" s="1"/>
  <c r="M42" i="8" s="1"/>
  <c r="N40" i="8" s="1"/>
  <c r="M10" i="8"/>
  <c r="M16" i="8" s="1"/>
  <c r="M19" i="8" s="1"/>
  <c r="M21" i="8" s="1"/>
  <c r="B140" i="9"/>
  <c r="E140" i="9"/>
  <c r="F140" i="9" l="1"/>
  <c r="B141" i="9"/>
  <c r="E141" i="9"/>
  <c r="F141" i="9" s="1"/>
  <c r="B142" i="9" l="1"/>
  <c r="E142" i="9"/>
  <c r="F142" i="9" l="1"/>
  <c r="B143" i="9"/>
  <c r="E143" i="9"/>
  <c r="F143" i="9" s="1"/>
  <c r="B144" i="9" l="1"/>
  <c r="E144" i="9"/>
  <c r="F144" i="9" s="1"/>
  <c r="B145" i="9" l="1"/>
  <c r="E145" i="9"/>
  <c r="F145" i="9" s="1"/>
  <c r="B146" i="9" l="1"/>
  <c r="E146" i="9"/>
  <c r="F146" i="9" l="1"/>
  <c r="H146" i="9"/>
  <c r="E147" i="9"/>
  <c r="N42" i="7"/>
  <c r="B147" i="9"/>
  <c r="N45" i="7" l="1"/>
  <c r="N8" i="8"/>
  <c r="N31" i="8" s="1"/>
  <c r="F147" i="9"/>
  <c r="N31" i="7"/>
  <c r="J146" i="9"/>
  <c r="B148" i="9"/>
  <c r="E148" i="9"/>
  <c r="F148" i="9" s="1"/>
  <c r="E149" i="9" l="1"/>
  <c r="F149" i="9" s="1"/>
  <c r="B149" i="9"/>
  <c r="N34" i="7"/>
  <c r="N5" i="11"/>
  <c r="M6" i="10"/>
  <c r="M9" i="10" s="1"/>
  <c r="M11" i="10" s="1"/>
  <c r="E150" i="9" l="1"/>
  <c r="B150" i="9"/>
  <c r="N38" i="7"/>
  <c r="N4" i="11"/>
  <c r="N7" i="11" s="1"/>
  <c r="B151" i="9" l="1"/>
  <c r="E151" i="9"/>
  <c r="F151" i="9" s="1"/>
  <c r="N16" i="11"/>
  <c r="N17" i="11"/>
  <c r="M4" i="10"/>
  <c r="M7" i="10" s="1"/>
  <c r="N39" i="7"/>
  <c r="N6" i="8"/>
  <c r="F150" i="9"/>
  <c r="N29" i="8" l="1"/>
  <c r="N32" i="8" s="1"/>
  <c r="N41" i="8" s="1"/>
  <c r="N42" i="8" s="1"/>
  <c r="O40" i="8" s="1"/>
  <c r="N10" i="8"/>
  <c r="N16" i="8" s="1"/>
  <c r="N19" i="8" s="1"/>
  <c r="N21" i="8" s="1"/>
  <c r="M15" i="10"/>
  <c r="M13" i="10"/>
  <c r="E152" i="9"/>
  <c r="B152" i="9"/>
  <c r="B153" i="9" l="1"/>
  <c r="E153" i="9"/>
  <c r="F153" i="9" s="1"/>
  <c r="F152" i="9"/>
  <c r="B154" i="9" l="1"/>
  <c r="E154" i="9"/>
  <c r="F154" i="9" s="1"/>
  <c r="B155" i="9" l="1"/>
  <c r="E155" i="9"/>
  <c r="F155" i="9" s="1"/>
  <c r="B156" i="9" l="1"/>
  <c r="E156" i="9"/>
  <c r="F156" i="9" s="1"/>
  <c r="B157" i="9" l="1"/>
  <c r="E157" i="9"/>
  <c r="F157" i="9" s="1"/>
  <c r="B158" i="9" l="1"/>
  <c r="E158" i="9"/>
  <c r="F158" i="9" l="1"/>
  <c r="H158" i="9"/>
  <c r="E159" i="9"/>
  <c r="B159" i="9"/>
  <c r="O42" i="7"/>
  <c r="F159" i="9" l="1"/>
  <c r="B160" i="9"/>
  <c r="E160" i="9"/>
  <c r="F160" i="9" s="1"/>
  <c r="O31" i="7"/>
  <c r="J158" i="9"/>
  <c r="O45" i="7"/>
  <c r="O8" i="8"/>
  <c r="O31" i="8" s="1"/>
  <c r="B161" i="9" l="1"/>
  <c r="E161" i="9"/>
  <c r="F161" i="9" s="1"/>
  <c r="O34" i="7"/>
  <c r="O5" i="11"/>
  <c r="N6" i="10"/>
  <c r="N9" i="10" s="1"/>
  <c r="N11" i="10" s="1"/>
  <c r="O38" i="7" l="1"/>
  <c r="O4" i="11"/>
  <c r="O7" i="11" s="1"/>
  <c r="E162" i="9"/>
  <c r="B162" i="9"/>
  <c r="F162" i="9" l="1"/>
  <c r="E163" i="9"/>
  <c r="F163" i="9" s="1"/>
  <c r="B163" i="9"/>
  <c r="O17" i="11"/>
  <c r="O16" i="11"/>
  <c r="N4" i="10"/>
  <c r="N7" i="10" s="1"/>
  <c r="O39" i="7"/>
  <c r="O6" i="8"/>
  <c r="N15" i="10" l="1"/>
  <c r="N13" i="10"/>
  <c r="B164" i="9"/>
  <c r="E164" i="9"/>
  <c r="F164" i="9" s="1"/>
  <c r="O29" i="8"/>
  <c r="O32" i="8" s="1"/>
  <c r="O41" i="8" s="1"/>
  <c r="O42" i="8" s="1"/>
  <c r="P40" i="8" s="1"/>
  <c r="O10" i="8"/>
  <c r="O16" i="8" s="1"/>
  <c r="O19" i="8" s="1"/>
  <c r="O21" i="8" s="1"/>
  <c r="B165" i="9" l="1"/>
  <c r="E165" i="9"/>
  <c r="F165" i="9" s="1"/>
  <c r="B166" i="9" l="1"/>
  <c r="E166" i="9"/>
  <c r="F166" i="9" s="1"/>
  <c r="B167" i="9" l="1"/>
  <c r="E167" i="9"/>
  <c r="F167" i="9" s="1"/>
  <c r="B168" i="9" l="1"/>
  <c r="E168" i="9"/>
  <c r="F168" i="9" s="1"/>
  <c r="B169" i="9" l="1"/>
  <c r="E169" i="9"/>
  <c r="F169" i="9" s="1"/>
  <c r="B170" i="9" l="1"/>
  <c r="E170" i="9"/>
  <c r="F170" i="9" l="1"/>
  <c r="H170" i="9"/>
  <c r="E171" i="9"/>
  <c r="P42" i="7"/>
  <c r="B171" i="9"/>
  <c r="P45" i="7" l="1"/>
  <c r="P8" i="8"/>
  <c r="P31" i="8" s="1"/>
  <c r="F171" i="9"/>
  <c r="P31" i="7"/>
  <c r="J170" i="9"/>
  <c r="B172" i="9"/>
  <c r="E172" i="9"/>
  <c r="F172" i="9" s="1"/>
  <c r="B173" i="9" l="1"/>
  <c r="E173" i="9"/>
  <c r="F173" i="9" s="1"/>
  <c r="P34" i="7"/>
  <c r="P5" i="11"/>
  <c r="O6" i="10"/>
  <c r="O9" i="10" s="1"/>
  <c r="O11" i="10" s="1"/>
  <c r="P38" i="7" l="1"/>
  <c r="P4" i="11"/>
  <c r="P7" i="11" s="1"/>
  <c r="B174" i="9"/>
  <c r="E174" i="9"/>
  <c r="B175" i="9" l="1"/>
  <c r="E175" i="9"/>
  <c r="F175" i="9" s="1"/>
  <c r="F174" i="9"/>
  <c r="P17" i="11"/>
  <c r="P16" i="11"/>
  <c r="O4" i="10"/>
  <c r="O7" i="10" s="1"/>
  <c r="P39" i="7"/>
  <c r="P6" i="8"/>
  <c r="O15" i="10" l="1"/>
  <c r="O13" i="10"/>
  <c r="P29" i="8"/>
  <c r="P32" i="8" s="1"/>
  <c r="P41" i="8" s="1"/>
  <c r="P42" i="8" s="1"/>
  <c r="Q40" i="8" s="1"/>
  <c r="P10" i="8"/>
  <c r="P16" i="8" s="1"/>
  <c r="P19" i="8" s="1"/>
  <c r="P21" i="8" s="1"/>
  <c r="B176" i="9"/>
  <c r="E176" i="9"/>
  <c r="F176" i="9" l="1"/>
  <c r="E177" i="9"/>
  <c r="F177" i="9" s="1"/>
  <c r="B177" i="9"/>
  <c r="E178" i="9" l="1"/>
  <c r="F178" i="9" s="1"/>
  <c r="B178" i="9"/>
  <c r="B179" i="9" l="1"/>
  <c r="E179" i="9"/>
  <c r="F179" i="9" s="1"/>
  <c r="B180" i="9" l="1"/>
  <c r="E180" i="9"/>
  <c r="F180" i="9" s="1"/>
  <c r="B181" i="9" l="1"/>
  <c r="E181" i="9"/>
  <c r="F181" i="9" s="1"/>
  <c r="B182" i="9" l="1"/>
  <c r="Q42" i="7" s="1"/>
  <c r="E182" i="9"/>
  <c r="F182" i="9" l="1"/>
  <c r="F195" i="9" s="1"/>
  <c r="E195" i="9"/>
  <c r="H182" i="9"/>
  <c r="Q45" i="7"/>
  <c r="Q8" i="8"/>
  <c r="Q31" i="8" s="1"/>
  <c r="Q31" i="7" l="1"/>
  <c r="J182" i="9"/>
  <c r="J195" i="9" s="1"/>
  <c r="H195" i="9"/>
  <c r="P6" i="10" l="1"/>
  <c r="Q34" i="7"/>
  <c r="Q5" i="11"/>
  <c r="AB5" i="11" s="1"/>
  <c r="AB31" i="7"/>
  <c r="Q38" i="7" l="1"/>
  <c r="Q4" i="11"/>
  <c r="P9" i="10"/>
  <c r="Q6" i="10"/>
  <c r="P11" i="10" l="1"/>
  <c r="Q9" i="10"/>
  <c r="Q11" i="10" s="1"/>
  <c r="Q7" i="11"/>
  <c r="AB4" i="11"/>
  <c r="AB7" i="11" s="1"/>
  <c r="Q39" i="7"/>
  <c r="P4" i="10"/>
  <c r="Q6" i="8"/>
  <c r="R6" i="8" l="1"/>
  <c r="Q29" i="8"/>
  <c r="Q32" i="8" s="1"/>
  <c r="Q41" i="8" s="1"/>
  <c r="Q42" i="8" s="1"/>
  <c r="Q10" i="8"/>
  <c r="Q16" i="8" s="1"/>
  <c r="Q19" i="8" s="1"/>
  <c r="Q21" i="8" s="1"/>
  <c r="Q16" i="11"/>
  <c r="B19" i="11" s="1"/>
  <c r="Q17" i="11"/>
  <c r="B20" i="11" s="1"/>
  <c r="P7" i="10"/>
  <c r="Q4" i="10"/>
  <c r="Q7" i="10" s="1"/>
  <c r="Q13" i="10" l="1"/>
  <c r="Q15" i="10"/>
  <c r="B17" i="10"/>
  <c r="B28" i="2" s="1"/>
  <c r="P13" i="10"/>
  <c r="B18" i="10" s="1"/>
  <c r="B29" i="2" s="1"/>
  <c r="P15" i="10"/>
  <c r="S6" i="8"/>
  <c r="R10" i="8"/>
  <c r="R16" i="8" s="1"/>
  <c r="R19" i="8" s="1"/>
  <c r="R21" i="8" s="1"/>
  <c r="T6" i="8" l="1"/>
  <c r="S10" i="8"/>
  <c r="S16" i="8" s="1"/>
  <c r="S19" i="8" s="1"/>
  <c r="S21" i="8" s="1"/>
  <c r="U6" i="8" l="1"/>
  <c r="T10" i="8"/>
  <c r="T16" i="8" s="1"/>
  <c r="T19" i="8" s="1"/>
  <c r="T21" i="8" s="1"/>
  <c r="V6" i="8" l="1"/>
  <c r="U10" i="8"/>
  <c r="U16" i="8" s="1"/>
  <c r="U19" i="8" s="1"/>
  <c r="U21" i="8" s="1"/>
  <c r="W6" i="8" l="1"/>
  <c r="V10" i="8"/>
  <c r="V16" i="8" s="1"/>
  <c r="V19" i="8" s="1"/>
  <c r="V21" i="8" s="1"/>
  <c r="X6" i="8" l="1"/>
  <c r="W10" i="8"/>
  <c r="W16" i="8" s="1"/>
  <c r="W19" i="8" s="1"/>
  <c r="W21" i="8" s="1"/>
  <c r="Y6" i="8" l="1"/>
  <c r="X10" i="8"/>
  <c r="X16" i="8" s="1"/>
  <c r="X19" i="8" s="1"/>
  <c r="X21" i="8" s="1"/>
  <c r="Z6" i="8" l="1"/>
  <c r="Y10" i="8"/>
  <c r="Y16" i="8" s="1"/>
  <c r="Y19" i="8" s="1"/>
  <c r="Y21" i="8" s="1"/>
  <c r="AA6" i="8" l="1"/>
  <c r="AA10" i="8" s="1"/>
  <c r="AA16" i="8" s="1"/>
  <c r="AA19" i="8" s="1"/>
  <c r="AA21" i="8" s="1"/>
  <c r="Z10" i="8"/>
  <c r="Z16" i="8" s="1"/>
  <c r="Z19" i="8" s="1"/>
  <c r="Z21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welcome</author>
  </authors>
  <commentList>
    <comment ref="B37" authorId="0" shapeId="0" xr:uid="{A7159799-E3D7-46BD-AFC8-C6BBA519450D}">
      <text>
        <r>
          <rPr>
            <b/>
            <sz val="9"/>
            <color indexed="81"/>
            <rFont val="Tahoma"/>
            <family val="2"/>
          </rPr>
          <t>welcome:</t>
        </r>
        <r>
          <rPr>
            <sz val="9"/>
            <color indexed="81"/>
            <rFont val="Tahoma"/>
            <family val="2"/>
          </rPr>
          <t xml:space="preserve">
PPA missing
</t>
        </r>
      </text>
    </comment>
  </commentList>
</comments>
</file>

<file path=xl/sharedStrings.xml><?xml version="1.0" encoding="utf-8"?>
<sst xmlns="http://schemas.openxmlformats.org/spreadsheetml/2006/main" count="787" uniqueCount="452">
  <si>
    <t xml:space="preserve">Rooftop Solar project for UP govt </t>
  </si>
  <si>
    <t>medical colleges &amp; Hospital</t>
  </si>
  <si>
    <t xml:space="preserve">Project Financials </t>
  </si>
  <si>
    <t>OMC Power P Ltd</t>
  </si>
  <si>
    <t xml:space="preserve">Assumptions - OMC Power P Ltd </t>
  </si>
  <si>
    <t>Parameter</t>
  </si>
  <si>
    <t>Value</t>
  </si>
  <si>
    <t>Remarks</t>
  </si>
  <si>
    <t>Total Project Cost (Rs.)</t>
  </si>
  <si>
    <t>Total Project cost</t>
  </si>
  <si>
    <t>Total Loan Amount (Rs.)</t>
  </si>
  <si>
    <t>70% of project cost</t>
  </si>
  <si>
    <t>Generation PLF (%)</t>
  </si>
  <si>
    <t xml:space="preserve">Based on the location and the irradiation levels PLF is calculated as per the PVSyst report (P90 level). </t>
  </si>
  <si>
    <t>Annual Generation in First full Year (in kWh)</t>
  </si>
  <si>
    <t>First full year projected generation based upon P90 in the PVsyst</t>
  </si>
  <si>
    <t>Annual Degradation</t>
  </si>
  <si>
    <t>1%</t>
  </si>
  <si>
    <t>Based on conservative estimate an annual reduction is expected of 1%</t>
  </si>
  <si>
    <t>PPA Rate (Rs./ kWh)</t>
  </si>
  <si>
    <t>Loan Repayment period (years)</t>
  </si>
  <si>
    <t>173 monthly instalments of Rs.0.10 crore and final instalment of Rs.0.30 crore</t>
  </si>
  <si>
    <t>Moratorium (Years)</t>
  </si>
  <si>
    <t>Thats the time taken for the project to start generating returns</t>
  </si>
  <si>
    <t>O&amp;M Expenses (Rs. lakh per annum per MW)</t>
  </si>
  <si>
    <t>The operation and maintenance expenses will take care of regular upkeep cleaning security and repairs</t>
  </si>
  <si>
    <t>O&amp;M Expense escalation</t>
  </si>
  <si>
    <t>Normal increases in O&amp;M expenses per annum</t>
  </si>
  <si>
    <t>O&amp;M GST</t>
  </si>
  <si>
    <t>GST on O&amp;M service</t>
  </si>
  <si>
    <t>Rate of Interest</t>
  </si>
  <si>
    <t>MCLR + 40 bps</t>
  </si>
  <si>
    <t>DC to AC ratio</t>
  </si>
  <si>
    <t>1</t>
  </si>
  <si>
    <t>No change</t>
  </si>
  <si>
    <t>Transmission &amp; Auxiliary losses</t>
  </si>
  <si>
    <t>0%</t>
  </si>
  <si>
    <t>Given that the facility is behind the meter and all generation will be consumed by the firm for its own operations</t>
  </si>
  <si>
    <t>Rate of Depreciation</t>
  </si>
  <si>
    <t>4% depreciation - Straight line method (depreciating the solar asset over 25 years)</t>
  </si>
  <si>
    <t xml:space="preserve">Average generation per MW </t>
  </si>
  <si>
    <t>Source : PVSyst sheet</t>
  </si>
  <si>
    <t>Average DSCR</t>
  </si>
  <si>
    <t>Minimum DSCR</t>
  </si>
  <si>
    <t xml:space="preserve">Project Cost &amp; Means of Finance - OMC Rooftop projects </t>
  </si>
  <si>
    <t>Total Project Cost (Rs. crore)</t>
  </si>
  <si>
    <t>SN</t>
  </si>
  <si>
    <t>Item</t>
  </si>
  <si>
    <t>Capacity (kW)</t>
  </si>
  <si>
    <t>Rate / Wp</t>
  </si>
  <si>
    <t>Amount (INR)</t>
  </si>
  <si>
    <t>GST (%)</t>
  </si>
  <si>
    <t>GST (INR)</t>
  </si>
  <si>
    <t>Total (INR)</t>
  </si>
  <si>
    <t>EPC cost Jakson</t>
  </si>
  <si>
    <t xml:space="preserve">Pre-operative expenses (Consultancy Charges Site Survey Charges Employee Cost Overhead directly related to the project) </t>
  </si>
  <si>
    <t>@ 8% of EPC cost</t>
  </si>
  <si>
    <t>Preliminary charges (DSRA, processing fee, IDC)</t>
  </si>
  <si>
    <t>-</t>
  </si>
  <si>
    <t>Total Hard Cost</t>
  </si>
  <si>
    <t>Total Means of Finance (Rs.crore)</t>
  </si>
  <si>
    <t>Amount</t>
  </si>
  <si>
    <t>Promoters contribution (Equity)</t>
  </si>
  <si>
    <t>SBI Term loan</t>
  </si>
  <si>
    <t>Total</t>
  </si>
  <si>
    <t>Soft costs</t>
  </si>
  <si>
    <t>Amount (Rs. cr)</t>
  </si>
  <si>
    <t>DSRA - 3 months principle</t>
  </si>
  <si>
    <t>DSRA - 3 months interest</t>
  </si>
  <si>
    <t>Processing fee @ 0.50%</t>
  </si>
  <si>
    <t>Interest during construction @ 3 months</t>
  </si>
  <si>
    <t>INR Lakhs</t>
  </si>
  <si>
    <t>PO 1</t>
  </si>
  <si>
    <t>Site Type</t>
  </si>
  <si>
    <t>Capacity (KW)</t>
  </si>
  <si>
    <t>Basic value</t>
  </si>
  <si>
    <t>GST</t>
  </si>
  <si>
    <t>PO value incl GST</t>
  </si>
  <si>
    <t>Maharaja Suheldev Autonomous State Medical College Bahraich (723.84 + 928) kWp</t>
  </si>
  <si>
    <t>MC</t>
  </si>
  <si>
    <t>Maharaishi Vashishtha Autonomous State Medical College Basti (373.52 + 726.16) kWp</t>
  </si>
  <si>
    <t>Lok Bandhu Shri Raj Narayan Combined Hospital Lucknow</t>
  </si>
  <si>
    <t>DH</t>
  </si>
  <si>
    <t>Tej Bahadur Sapru Hospital Prayagraj</t>
  </si>
  <si>
    <t>District Hospital Male Barabanki</t>
  </si>
  <si>
    <t>District Female Hospital (MCH Wing) Barabanki</t>
  </si>
  <si>
    <t>Balrampur Hospital Lucknow</t>
  </si>
  <si>
    <t>Netaji Subhash Chandra Bose District Hospital Gorakhpur</t>
  </si>
  <si>
    <t>District Hospital Meerut</t>
  </si>
  <si>
    <t>District Hospital Basti</t>
  </si>
  <si>
    <t>Pt. Din Dayal Upadhyay Combined Hospital Moradabad</t>
  </si>
  <si>
    <t>Pt. Din Dayal Upadhyay Combined Hospital Aligarh</t>
  </si>
  <si>
    <t>Sub-Total PO</t>
  </si>
  <si>
    <t>PO 2</t>
  </si>
  <si>
    <t>District Combined Hospital Auraiya</t>
  </si>
  <si>
    <t>District Hospital Lalitpur (387.44 + 363.08) kW</t>
  </si>
  <si>
    <t>District Hospital Gonda (704.7 + 300.44) kW</t>
  </si>
  <si>
    <t>District Hospital Chandauli (214.6 + 423.4) kW</t>
  </si>
  <si>
    <t>District Women Hospital Bijnor (350.32 + 69.6 + 367.72) kW</t>
  </si>
  <si>
    <t>District Hospital Etah (427.46 + 505.18) kW</t>
  </si>
  <si>
    <t>District Male Hospital Sultanpur (297.54 + 95.12 + 552.16) kW</t>
  </si>
  <si>
    <t>District Hospital Sonbhadra</t>
  </si>
  <si>
    <t>Madhav Prasad Tripathi Medical College &amp; Hospital Siddharthnagar</t>
  </si>
  <si>
    <t>Dr. Sonelal Patel Govt. Hospital &amp; College Pratapgarh (520.84 + 279.56) kW</t>
  </si>
  <si>
    <t>PO 3</t>
  </si>
  <si>
    <t>Motilal Nehru Divisional Hospital Prayagraj</t>
  </si>
  <si>
    <t>District Combined Hospital Amroha</t>
  </si>
  <si>
    <t>District Combined Hospital Maunathbhanjan</t>
  </si>
  <si>
    <t>District Combined Hospital Shamli</t>
  </si>
  <si>
    <t>Seth Baldev Das District Hospital Saharanpur</t>
  </si>
  <si>
    <t>100 Saiyaa Combined Hospital Hardoi</t>
  </si>
  <si>
    <t>Divisional District Hospital Azamgarh - Blood Bank (250.56 + 250.56) kW</t>
  </si>
  <si>
    <t>UHM District Male Hospital Kanpur Nagar</t>
  </si>
  <si>
    <t>District Women Hospital Prayagraj</t>
  </si>
  <si>
    <t>100 Beded Maurawa Unnao</t>
  </si>
  <si>
    <t>Uma Shanker Dixit District Women Hospital Unnao</t>
  </si>
  <si>
    <t>100 Beded Bighapur Unnao</t>
  </si>
  <si>
    <t>Banda Hospital</t>
  </si>
  <si>
    <t>GRAND TOTAL</t>
  </si>
  <si>
    <t>MC Nos</t>
  </si>
  <si>
    <t>DH Nos</t>
  </si>
  <si>
    <t>Hospital</t>
  </si>
  <si>
    <t>Medical College</t>
  </si>
  <si>
    <t>District Hospital</t>
  </si>
  <si>
    <t>Increase/ Decrease in project capacity</t>
  </si>
  <si>
    <t>PO Number</t>
  </si>
  <si>
    <t>P90 PVSyst
(MWh)</t>
  </si>
  <si>
    <t>P90 PVSyst
(kWh)</t>
  </si>
  <si>
    <t>PVSyst Capacity</t>
  </si>
  <si>
    <t>PO2</t>
  </si>
  <si>
    <t>PO3</t>
  </si>
  <si>
    <t>Particulars</t>
  </si>
  <si>
    <t xml:space="preserve">Technical Assumptions </t>
  </si>
  <si>
    <t>Capacity of the Plant</t>
  </si>
  <si>
    <t>in kW</t>
  </si>
  <si>
    <t>Period (Starting)</t>
  </si>
  <si>
    <t>Year Closing</t>
  </si>
  <si>
    <t>No of Months operated</t>
  </si>
  <si>
    <t>Months</t>
  </si>
  <si>
    <t>No of Day operated in a Year</t>
  </si>
  <si>
    <t>Days</t>
  </si>
  <si>
    <t>No of Hours in a Day</t>
  </si>
  <si>
    <t>In Hours</t>
  </si>
  <si>
    <t>PLF of the Plant</t>
  </si>
  <si>
    <t>%</t>
  </si>
  <si>
    <t>Transmission Losses</t>
  </si>
  <si>
    <t>Units Generated</t>
  </si>
  <si>
    <t>in Kwh</t>
  </si>
  <si>
    <t xml:space="preserve">Net Units Generated </t>
  </si>
  <si>
    <t>Less: Transmission Losses</t>
  </si>
  <si>
    <t>Net Units Available For sale</t>
  </si>
  <si>
    <t>Tariff Assumptions</t>
  </si>
  <si>
    <t>Tariff Rate as per PPA</t>
  </si>
  <si>
    <t>Rs per unit</t>
  </si>
  <si>
    <t>Revenue</t>
  </si>
  <si>
    <t>Rs. crore</t>
  </si>
  <si>
    <t>Operation &amp; Maintainence Expenditure</t>
  </si>
  <si>
    <t>O&amp;M Expenditure</t>
  </si>
  <si>
    <t>Rs lacs MW/year</t>
  </si>
  <si>
    <t xml:space="preserve">O&amp; M Expenditure </t>
  </si>
  <si>
    <t>Profit after O&amp;M Expenses</t>
  </si>
  <si>
    <t>Interest</t>
  </si>
  <si>
    <t>Depreciation</t>
  </si>
  <si>
    <t>Profit after Int &amp; Depreciation</t>
  </si>
  <si>
    <t>Tax</t>
  </si>
  <si>
    <t>Profit after tax</t>
  </si>
  <si>
    <t>Cash Profit</t>
  </si>
  <si>
    <t>SBI Term Loan Outstanding</t>
  </si>
  <si>
    <t>SBI Term loan Repayment (Principal)</t>
  </si>
  <si>
    <t>PROJECTED BALANCE SHEET</t>
  </si>
  <si>
    <t>(RS. IN CRORES)</t>
  </si>
  <si>
    <t>Equity Share Capital</t>
  </si>
  <si>
    <t>Reserves and Surplus</t>
  </si>
  <si>
    <t>Current Liabilities</t>
  </si>
  <si>
    <t>Long term loans</t>
  </si>
  <si>
    <t xml:space="preserve">Total Liabilities </t>
  </si>
  <si>
    <t>Gross Fixed Assets</t>
  </si>
  <si>
    <t>Accumulated Depreciation</t>
  </si>
  <si>
    <t>Net Fixed Assets</t>
  </si>
  <si>
    <t>Cash &amp; Bank Balance</t>
  </si>
  <si>
    <t>Stocks</t>
  </si>
  <si>
    <t>Recievables</t>
  </si>
  <si>
    <t>Total Current Assets</t>
  </si>
  <si>
    <t>Total Assets</t>
  </si>
  <si>
    <t>PROJECTED CASH FLOW STATEMENT</t>
  </si>
  <si>
    <t>Inflows</t>
  </si>
  <si>
    <t>Increase/ Decrease in Equity Share Capital</t>
  </si>
  <si>
    <t>Increase/ Decrease in Reserves and Surplus</t>
  </si>
  <si>
    <t>Increase/ Decrease in Current Liabilities</t>
  </si>
  <si>
    <t>Increase/ Decrease in Long Term Loans</t>
  </si>
  <si>
    <t>Outflows</t>
  </si>
  <si>
    <t>Increase/ Decrease in Net Fixed Assets</t>
  </si>
  <si>
    <t>Increase/ Decrease in Stocks</t>
  </si>
  <si>
    <t>Increase/ Decrease in Receivables</t>
  </si>
  <si>
    <t>Opening Cash &amp; Bank Balance</t>
  </si>
  <si>
    <t>Surplus</t>
  </si>
  <si>
    <t>Closing Cash &amp; Bank Balance</t>
  </si>
  <si>
    <t>Month</t>
  </si>
  <si>
    <t>Loan O/s</t>
  </si>
  <si>
    <t>Prin Installment</t>
  </si>
  <si>
    <t>Interest Installment</t>
  </si>
  <si>
    <t>Yearly Interest</t>
  </si>
  <si>
    <t>Yearly Prin</t>
  </si>
  <si>
    <t>DSCR Calculations</t>
  </si>
  <si>
    <t>Year #</t>
  </si>
  <si>
    <t>FY</t>
  </si>
  <si>
    <t>PAT</t>
  </si>
  <si>
    <t>Interest Cost</t>
  </si>
  <si>
    <t>Amount Available for Repayment</t>
  </si>
  <si>
    <t>Repayment of Loan</t>
  </si>
  <si>
    <t>Repayment Obligation</t>
  </si>
  <si>
    <t>DSCR</t>
  </si>
  <si>
    <t>Interest Coverage (Times)</t>
  </si>
  <si>
    <t>Min DSCR</t>
  </si>
  <si>
    <t>With 5% fall in PPA price</t>
  </si>
  <si>
    <t>With 5% increase in O&amp;M</t>
  </si>
  <si>
    <t>With 2% increase in Int rate</t>
  </si>
  <si>
    <t>IRR Calculation</t>
  </si>
  <si>
    <r>
      <rPr>
        <b/>
        <sz val="10"/>
        <color rgb="FF000000"/>
        <rFont val="Helvetica Neue"/>
      </rPr>
      <t>IRR Calculation</t>
    </r>
  </si>
  <si>
    <t>Year ending</t>
  </si>
  <si>
    <t>PBT</t>
  </si>
  <si>
    <t>Cash Inflow</t>
  </si>
  <si>
    <t>Interest on Term Loan</t>
  </si>
  <si>
    <t>Prin Repayment of TL</t>
  </si>
  <si>
    <t>Loan Liabilities</t>
  </si>
  <si>
    <t>Equity/ USL/ Promoters Contribution</t>
  </si>
  <si>
    <t>Total Project Cost</t>
  </si>
  <si>
    <t>Equity IRR cash flow</t>
  </si>
  <si>
    <t>Project IRR cash flow</t>
  </si>
  <si>
    <t>Equity IRR (%)</t>
  </si>
  <si>
    <t>Project IRR (%)</t>
  </si>
  <si>
    <t>Weighted Average cost of capital</t>
  </si>
  <si>
    <t>(Rs. crore)</t>
  </si>
  <si>
    <r>
      <rPr>
        <b/>
        <sz val="8"/>
        <color rgb="FFFFFFFF"/>
        <rFont val="Trebuchet MS"/>
        <family val="2"/>
      </rPr>
      <t>FY2023-FY2024</t>
    </r>
  </si>
  <si>
    <r>
      <rPr>
        <b/>
        <sz val="8"/>
        <color rgb="FFFFFFFF"/>
        <rFont val="Trebuchet MS"/>
        <family val="2"/>
      </rPr>
      <t>FY2024-FY2025</t>
    </r>
  </si>
  <si>
    <r>
      <rPr>
        <b/>
        <sz val="8"/>
        <color rgb="FFFFFFFF"/>
        <rFont val="Trebuchet MS"/>
        <family val="2"/>
      </rPr>
      <t>FY2025-FY2026</t>
    </r>
  </si>
  <si>
    <r>
      <rPr>
        <b/>
        <sz val="8"/>
        <color rgb="FFFFFFFF"/>
        <rFont val="Trebuchet MS"/>
        <family val="2"/>
      </rPr>
      <t>FY2026-FY2027</t>
    </r>
  </si>
  <si>
    <r>
      <rPr>
        <b/>
        <sz val="8"/>
        <color theme="1"/>
        <rFont val="Trebuchet MS"/>
        <family val="2"/>
      </rPr>
      <t>REVENUE</t>
    </r>
  </si>
  <si>
    <r>
      <rPr>
        <b/>
        <sz val="8"/>
        <color rgb="FFFFFFFF"/>
        <rFont val="Trebuchet MS"/>
        <family val="2"/>
      </rPr>
      <t>Actual</t>
    </r>
  </si>
  <si>
    <r>
      <rPr>
        <b/>
        <sz val="8"/>
        <color rgb="FFFFFFFF"/>
        <rFont val="Trebuchet MS"/>
        <family val="2"/>
      </rPr>
      <t>Projection</t>
    </r>
  </si>
  <si>
    <r>
      <rPr>
        <b/>
        <sz val="8"/>
        <color rgb="FFFFFFFF"/>
        <rFont val="Trebuchet MS"/>
        <family val="2"/>
      </rPr>
      <t>Projection</t>
    </r>
  </si>
  <si>
    <r>
      <rPr>
        <b/>
        <sz val="8"/>
        <color rgb="FFFFFFFF"/>
        <rFont val="Trebuchet MS"/>
        <family val="2"/>
      </rPr>
      <t>Projection</t>
    </r>
  </si>
  <si>
    <r>
      <rPr>
        <sz val="8"/>
        <color theme="1"/>
        <rFont val="Trebuchet MS"/>
        <family val="2"/>
      </rPr>
      <t>Telecom</t>
    </r>
  </si>
  <si>
    <r>
      <rPr>
        <sz val="8"/>
        <color theme="1"/>
        <rFont val="Trebuchet MS"/>
        <family val="2"/>
      </rPr>
      <t>Minigrid</t>
    </r>
  </si>
  <si>
    <r>
      <rPr>
        <sz val="8"/>
        <color theme="1"/>
        <rFont val="Trebuchet MS"/>
        <family val="2"/>
      </rPr>
      <t>EPC</t>
    </r>
  </si>
  <si>
    <r>
      <rPr>
        <sz val="8"/>
        <color theme="1"/>
        <rFont val="Trebuchet MS"/>
        <family val="2"/>
      </rPr>
      <t>RESCO</t>
    </r>
  </si>
  <si>
    <r>
      <rPr>
        <sz val="8"/>
        <color theme="1"/>
        <rFont val="Trebuchet MS"/>
        <family val="2"/>
      </rPr>
      <t>D-REC</t>
    </r>
  </si>
  <si>
    <r>
      <rPr>
        <sz val="8"/>
        <color theme="1"/>
        <rFont val="Trebuchet MS"/>
        <family val="2"/>
      </rPr>
      <t>Service Income</t>
    </r>
  </si>
  <si>
    <r>
      <rPr>
        <b/>
        <sz val="8"/>
        <color theme="1"/>
        <rFont val="Trebuchet MS"/>
        <family val="2"/>
      </rPr>
      <t>TOTAL OPERATING REVENUE</t>
    </r>
  </si>
  <si>
    <r>
      <rPr>
        <b/>
        <sz val="8"/>
        <color theme="1"/>
        <rFont val="Trebuchet MS"/>
        <family val="2"/>
      </rPr>
      <t>Non-Operating Revenue</t>
    </r>
  </si>
  <si>
    <r>
      <rPr>
        <sz val="8"/>
        <color theme="1"/>
        <rFont val="Trebuchet MS"/>
        <family val="2"/>
      </rPr>
      <t>Interest Income</t>
    </r>
  </si>
  <si>
    <r>
      <rPr>
        <sz val="8"/>
        <color theme="1"/>
        <rFont val="Trebuchet MS"/>
        <family val="2"/>
      </rPr>
      <t>Gain on scrap sale</t>
    </r>
  </si>
  <si>
    <r>
      <rPr>
        <sz val="8"/>
        <color theme="1"/>
        <rFont val="Trebuchet MS"/>
        <family val="2"/>
      </rPr>
      <t>Amortisation of Subsidy+Others</t>
    </r>
  </si>
  <si>
    <t>TOTAL NON OPERATING REVENUE</t>
  </si>
  <si>
    <r>
      <rPr>
        <b/>
        <sz val="8"/>
        <color theme="1"/>
        <rFont val="Trebuchet MS"/>
        <family val="2"/>
      </rPr>
      <t>TOTAL REVENUE</t>
    </r>
  </si>
  <si>
    <r>
      <rPr>
        <b/>
        <sz val="8"/>
        <color theme="1"/>
        <rFont val="Trebuchet MS"/>
        <family val="2"/>
      </rPr>
      <t>COST</t>
    </r>
  </si>
  <si>
    <r>
      <rPr>
        <sz val="8"/>
        <color theme="1"/>
        <rFont val="Trebuchet MS"/>
        <family val="2"/>
      </rPr>
      <t>Plant Cost (Diesel)</t>
    </r>
  </si>
  <si>
    <t>Plant Cost (Manpower Maintenance)</t>
  </si>
  <si>
    <r>
      <rPr>
        <sz val="8"/>
        <color theme="1"/>
        <rFont val="Trebuchet MS"/>
        <family val="2"/>
      </rPr>
      <t>Cost of material (EPC)</t>
    </r>
  </si>
  <si>
    <r>
      <rPr>
        <sz val="8"/>
        <color theme="1"/>
        <rFont val="Trebuchet MS"/>
        <family val="2"/>
      </rPr>
      <t>RESCO Opex</t>
    </r>
  </si>
  <si>
    <r>
      <rPr>
        <sz val="8"/>
        <color theme="1"/>
        <rFont val="Trebuchet MS"/>
        <family val="2"/>
      </rPr>
      <t>Service Cost</t>
    </r>
  </si>
  <si>
    <r>
      <rPr>
        <b/>
        <sz val="8"/>
        <color theme="1"/>
        <rFont val="Trebuchet MS"/>
        <family val="2"/>
      </rPr>
      <t>TOTAL PLANT OPEX</t>
    </r>
  </si>
  <si>
    <r>
      <rPr>
        <b/>
        <sz val="8"/>
        <color theme="1"/>
        <rFont val="Trebuchet MS"/>
        <family val="2"/>
      </rPr>
      <t>PLANT EBITDA</t>
    </r>
  </si>
  <si>
    <t>% Plant EBIDTA to Operating Revenue</t>
  </si>
  <si>
    <r>
      <rPr>
        <b/>
        <sz val="8"/>
        <color theme="1"/>
        <rFont val="Trebuchet MS"/>
        <family val="2"/>
      </rPr>
      <t>CORPORATE COST</t>
    </r>
  </si>
  <si>
    <r>
      <rPr>
        <b/>
        <sz val="8"/>
        <color theme="1"/>
        <rFont val="Trebuchet MS"/>
        <family val="2"/>
      </rPr>
      <t>COMPANY EBITDA</t>
    </r>
  </si>
  <si>
    <r>
      <rPr>
        <b/>
        <sz val="8"/>
        <color theme="1"/>
        <rFont val="Trebuchet MS"/>
        <family val="2"/>
      </rPr>
      <t>FINANCING COST</t>
    </r>
  </si>
  <si>
    <r>
      <rPr>
        <b/>
        <sz val="8"/>
        <color theme="1"/>
        <rFont val="Trebuchet MS"/>
        <family val="2"/>
      </rPr>
      <t>EARNINGS BEFORE DEPRECIATION AND TAX</t>
    </r>
  </si>
  <si>
    <r>
      <rPr>
        <b/>
        <sz val="8"/>
        <color theme="1"/>
        <rFont val="Trebuchet MS"/>
        <family val="2"/>
      </rPr>
      <t>DEPRECIATION</t>
    </r>
  </si>
  <si>
    <r>
      <rPr>
        <b/>
        <sz val="8"/>
        <color theme="1"/>
        <rFont val="Trebuchet MS"/>
        <family val="2"/>
      </rPr>
      <t>EARNINGS BEFORE EXCEPTION ITEMS AND TAX</t>
    </r>
  </si>
  <si>
    <r>
      <rPr>
        <b/>
        <sz val="8"/>
        <color theme="1"/>
        <rFont val="Trebuchet MS"/>
        <family val="2"/>
      </rPr>
      <t>Exceptional Items</t>
    </r>
  </si>
  <si>
    <r>
      <rPr>
        <b/>
        <sz val="8"/>
        <color theme="1"/>
        <rFont val="Trebuchet MS"/>
        <family val="2"/>
      </rPr>
      <t>PBT</t>
    </r>
  </si>
  <si>
    <r>
      <rPr>
        <i/>
        <sz val="8"/>
        <color theme="1"/>
        <rFont val="Trebuchet MS"/>
        <family val="2"/>
      </rPr>
      <t>%</t>
    </r>
  </si>
  <si>
    <r>
      <rPr>
        <sz val="8"/>
        <color theme="1"/>
        <rFont val="Trebuchet MS"/>
        <family val="2"/>
      </rPr>
      <t>Net Worth</t>
    </r>
  </si>
  <si>
    <r>
      <rPr>
        <sz val="8"/>
        <color theme="1"/>
        <rFont val="Trebuchet MS"/>
        <family val="2"/>
      </rPr>
      <t>Gross Block</t>
    </r>
  </si>
  <si>
    <r>
      <rPr>
        <sz val="8"/>
        <color theme="1"/>
        <rFont val="Trebuchet MS"/>
        <family val="2"/>
      </rPr>
      <t>Borrowings</t>
    </r>
  </si>
  <si>
    <r>
      <rPr>
        <sz val="8"/>
        <color theme="1"/>
        <rFont val="Trebuchet MS"/>
        <family val="2"/>
      </rPr>
      <t>Bank Balance</t>
    </r>
  </si>
  <si>
    <r>
      <rPr>
        <sz val="8"/>
        <color theme="1"/>
        <rFont val="Trebuchet MS"/>
        <family val="2"/>
      </rPr>
      <t>CFADS</t>
    </r>
  </si>
  <si>
    <r>
      <rPr>
        <sz val="8"/>
        <color theme="1"/>
        <rFont val="Trebuchet MS"/>
        <family val="2"/>
      </rPr>
      <t>Repayment</t>
    </r>
  </si>
  <si>
    <r>
      <rPr>
        <sz val="8"/>
        <color theme="1"/>
        <rFont val="Trebuchet MS"/>
        <family val="2"/>
      </rPr>
      <t>Interest</t>
    </r>
  </si>
  <si>
    <r>
      <rPr>
        <sz val="8"/>
        <color theme="1"/>
        <rFont val="Trebuchet MS"/>
        <family val="2"/>
      </rPr>
      <t>DSCR</t>
    </r>
  </si>
  <si>
    <t>OMC Power Private Limited Forecasted Balance Sheet</t>
  </si>
  <si>
    <t>(₹ crore)</t>
  </si>
  <si>
    <t>As at
31-03-2024</t>
  </si>
  <si>
    <r>
      <rPr>
        <b/>
        <sz val="10"/>
        <color theme="1"/>
        <rFont val="Trebuchet MS"/>
        <family val="2"/>
      </rPr>
      <t xml:space="preserve">As at
</t>
    </r>
    <r>
      <rPr>
        <b/>
        <sz val="10"/>
        <color theme="1"/>
        <rFont val="Trebuchet MS"/>
        <family val="2"/>
      </rPr>
      <t>31-03-2025</t>
    </r>
  </si>
  <si>
    <r>
      <rPr>
        <b/>
        <sz val="10"/>
        <color theme="1"/>
        <rFont val="Trebuchet MS"/>
        <family val="2"/>
      </rPr>
      <t xml:space="preserve">As at
</t>
    </r>
    <r>
      <rPr>
        <b/>
        <sz val="10"/>
        <color theme="1"/>
        <rFont val="Trebuchet MS"/>
        <family val="2"/>
      </rPr>
      <t>31-03-2026</t>
    </r>
  </si>
  <si>
    <r>
      <rPr>
        <b/>
        <sz val="10"/>
        <color theme="1"/>
        <rFont val="Trebuchet MS"/>
        <family val="2"/>
      </rPr>
      <t xml:space="preserve">As at
</t>
    </r>
    <r>
      <rPr>
        <b/>
        <sz val="10"/>
        <color theme="1"/>
        <rFont val="Trebuchet MS"/>
        <family val="2"/>
      </rPr>
      <t>31-03-2027</t>
    </r>
  </si>
  <si>
    <r>
      <rPr>
        <b/>
        <sz val="10"/>
        <color theme="1"/>
        <rFont val="Trebuchet MS"/>
        <family val="2"/>
      </rPr>
      <t>Assets</t>
    </r>
  </si>
  <si>
    <r>
      <rPr>
        <b/>
        <sz val="10"/>
        <color theme="1"/>
        <rFont val="Trebuchet MS"/>
        <family val="2"/>
      </rPr>
      <t>Non- current assets</t>
    </r>
  </si>
  <si>
    <t>Property plant and equipment</t>
  </si>
  <si>
    <r>
      <rPr>
        <sz val="10"/>
        <color theme="1"/>
        <rFont val="Trebuchet MS"/>
        <family val="2"/>
      </rPr>
      <t>Capital work in progress</t>
    </r>
  </si>
  <si>
    <r>
      <rPr>
        <sz val="10"/>
        <color theme="1"/>
        <rFont val="Trebuchet MS"/>
        <family val="2"/>
      </rPr>
      <t>Right-of-use assets</t>
    </r>
  </si>
  <si>
    <r>
      <rPr>
        <sz val="10"/>
        <color theme="1"/>
        <rFont val="Trebuchet MS"/>
        <family val="2"/>
      </rPr>
      <t>Intangibles</t>
    </r>
  </si>
  <si>
    <r>
      <rPr>
        <b/>
        <sz val="10"/>
        <color theme="1"/>
        <rFont val="Trebuchet MS"/>
        <family val="2"/>
      </rPr>
      <t>Financial assets</t>
    </r>
  </si>
  <si>
    <r>
      <rPr>
        <sz val="10"/>
        <color theme="1"/>
        <rFont val="Trebuchet MS"/>
        <family val="2"/>
      </rPr>
      <t>Investments</t>
    </r>
  </si>
  <si>
    <r>
      <rPr>
        <sz val="10"/>
        <color theme="1"/>
        <rFont val="Trebuchet MS"/>
        <family val="2"/>
      </rPr>
      <t>Other assets</t>
    </r>
  </si>
  <si>
    <r>
      <rPr>
        <sz val="10"/>
        <color theme="1"/>
        <rFont val="Trebuchet MS"/>
        <family val="2"/>
      </rPr>
      <t>Income tax assets (net)</t>
    </r>
  </si>
  <si>
    <r>
      <rPr>
        <b/>
        <sz val="10"/>
        <color theme="1"/>
        <rFont val="Trebuchet MS"/>
        <family val="2"/>
      </rPr>
      <t>Total non current assets</t>
    </r>
  </si>
  <si>
    <r>
      <rPr>
        <b/>
        <sz val="10"/>
        <color theme="1"/>
        <rFont val="Trebuchet MS"/>
        <family val="2"/>
      </rPr>
      <t>Current assets</t>
    </r>
  </si>
  <si>
    <r>
      <rPr>
        <sz val="10"/>
        <color theme="1"/>
        <rFont val="Trebuchet MS"/>
        <family val="2"/>
      </rPr>
      <t>Inventories</t>
    </r>
  </si>
  <si>
    <r>
      <rPr>
        <sz val="10"/>
        <color theme="1"/>
        <rFont val="Trebuchet MS"/>
        <family val="2"/>
      </rPr>
      <t>Financial assets</t>
    </r>
  </si>
  <si>
    <r>
      <rPr>
        <sz val="10"/>
        <color theme="1"/>
        <rFont val="Trebuchet MS"/>
        <family val="2"/>
      </rPr>
      <t>Trade receivables</t>
    </r>
  </si>
  <si>
    <r>
      <rPr>
        <sz val="10"/>
        <color theme="1"/>
        <rFont val="Trebuchet MS"/>
        <family val="2"/>
      </rPr>
      <t>Cash &amp; Bank Balances</t>
    </r>
  </si>
  <si>
    <r>
      <rPr>
        <sz val="10"/>
        <color theme="1"/>
        <rFont val="Trebuchet MS"/>
        <family val="2"/>
      </rPr>
      <t>Other financials assets</t>
    </r>
  </si>
  <si>
    <r>
      <rPr>
        <sz val="10"/>
        <color theme="1"/>
        <rFont val="Trebuchet MS"/>
        <family val="2"/>
      </rPr>
      <t>Other assets</t>
    </r>
  </si>
  <si>
    <r>
      <rPr>
        <b/>
        <sz val="10"/>
        <color theme="1"/>
        <rFont val="Trebuchet MS"/>
        <family val="2"/>
      </rPr>
      <t>Total current assets</t>
    </r>
  </si>
  <si>
    <r>
      <rPr>
        <b/>
        <sz val="10"/>
        <color theme="1"/>
        <rFont val="Trebuchet MS"/>
        <family val="2"/>
      </rPr>
      <t>Total assets</t>
    </r>
  </si>
  <si>
    <r>
      <rPr>
        <b/>
        <sz val="10"/>
        <color theme="1"/>
        <rFont val="Trebuchet MS"/>
        <family val="2"/>
      </rPr>
      <t>Equity and liabilities</t>
    </r>
  </si>
  <si>
    <r>
      <rPr>
        <b/>
        <sz val="10"/>
        <color theme="1"/>
        <rFont val="Trebuchet MS"/>
        <family val="2"/>
      </rPr>
      <t>Equity</t>
    </r>
  </si>
  <si>
    <r>
      <rPr>
        <sz val="10"/>
        <color theme="1"/>
        <rFont val="Trebuchet MS"/>
        <family val="2"/>
      </rPr>
      <t>Equity share capital</t>
    </r>
  </si>
  <si>
    <r>
      <rPr>
        <sz val="10"/>
        <color theme="1"/>
        <rFont val="Trebuchet MS"/>
        <family val="2"/>
      </rPr>
      <t>Instrument entirely in the nature of equity</t>
    </r>
  </si>
  <si>
    <r>
      <rPr>
        <sz val="10"/>
        <color theme="1"/>
        <rFont val="Trebuchet MS"/>
        <family val="2"/>
      </rPr>
      <t>Other equity</t>
    </r>
  </si>
  <si>
    <r>
      <rPr>
        <b/>
        <sz val="10"/>
        <color theme="1"/>
        <rFont val="Trebuchet MS"/>
        <family val="2"/>
      </rPr>
      <t>Total equity</t>
    </r>
  </si>
  <si>
    <r>
      <rPr>
        <b/>
        <sz val="10"/>
        <color theme="1"/>
        <rFont val="Trebuchet MS"/>
        <family val="2"/>
      </rPr>
      <t>Non-current liabilities</t>
    </r>
  </si>
  <si>
    <r>
      <rPr>
        <b/>
        <sz val="10"/>
        <color theme="1"/>
        <rFont val="Trebuchet MS"/>
        <family val="2"/>
      </rPr>
      <t>Financial liabilities</t>
    </r>
  </si>
  <si>
    <r>
      <rPr>
        <sz val="10"/>
        <color theme="1"/>
        <rFont val="Trebuchet MS"/>
        <family val="2"/>
      </rPr>
      <t>Borrowings</t>
    </r>
  </si>
  <si>
    <r>
      <rPr>
        <sz val="10"/>
        <color theme="1"/>
        <rFont val="Trebuchet MS"/>
        <family val="2"/>
      </rPr>
      <t>Lease liabilities</t>
    </r>
  </si>
  <si>
    <r>
      <rPr>
        <sz val="10"/>
        <color theme="1"/>
        <rFont val="Trebuchet MS"/>
        <family val="2"/>
      </rPr>
      <t>Other financial liabilities</t>
    </r>
  </si>
  <si>
    <r>
      <rPr>
        <sz val="10"/>
        <color theme="1"/>
        <rFont val="Trebuchet MS"/>
        <family val="2"/>
      </rPr>
      <t>Provisions</t>
    </r>
  </si>
  <si>
    <r>
      <rPr>
        <sz val="10"/>
        <color theme="1"/>
        <rFont val="Trebuchet MS"/>
        <family val="2"/>
      </rPr>
      <t>Other liabilities</t>
    </r>
  </si>
  <si>
    <r>
      <rPr>
        <b/>
        <sz val="10"/>
        <color theme="1"/>
        <rFont val="Trebuchet MS"/>
        <family val="2"/>
      </rPr>
      <t>Total non current liabilities</t>
    </r>
  </si>
  <si>
    <r>
      <rPr>
        <b/>
        <sz val="10"/>
        <color theme="1"/>
        <rFont val="Trebuchet MS"/>
        <family val="2"/>
      </rPr>
      <t>Current liabilities</t>
    </r>
  </si>
  <si>
    <r>
      <rPr>
        <sz val="10"/>
        <color theme="1"/>
        <rFont val="Trebuchet MS"/>
        <family val="2"/>
      </rPr>
      <t>Financial liabilities</t>
    </r>
  </si>
  <si>
    <r>
      <rPr>
        <sz val="10"/>
        <color theme="1"/>
        <rFont val="Trebuchet MS"/>
        <family val="2"/>
      </rPr>
      <t>Borrowings</t>
    </r>
  </si>
  <si>
    <r>
      <rPr>
        <sz val="10"/>
        <color theme="1"/>
        <rFont val="Trebuchet MS"/>
        <family val="2"/>
      </rPr>
      <t>Lease liabilities</t>
    </r>
  </si>
  <si>
    <r>
      <rPr>
        <sz val="10"/>
        <color theme="1"/>
        <rFont val="Trebuchet MS"/>
        <family val="2"/>
      </rPr>
      <t>Trade payables</t>
    </r>
  </si>
  <si>
    <t>- Total outstanding dues of creditors of micro enterprises and small enterprises</t>
  </si>
  <si>
    <t>- Total outstanding dues of creditors other than micro enterprises and small enterprises</t>
  </si>
  <si>
    <r>
      <rPr>
        <sz val="10"/>
        <color theme="1"/>
        <rFont val="Trebuchet MS"/>
        <family val="2"/>
      </rPr>
      <t>Other financial liabilities</t>
    </r>
  </si>
  <si>
    <r>
      <rPr>
        <sz val="10"/>
        <color theme="1"/>
        <rFont val="Trebuchet MS"/>
        <family val="2"/>
      </rPr>
      <t>Other liabilities</t>
    </r>
  </si>
  <si>
    <r>
      <rPr>
        <sz val="10"/>
        <color theme="1"/>
        <rFont val="Trebuchet MS"/>
        <family val="2"/>
      </rPr>
      <t>Provisions</t>
    </r>
  </si>
  <si>
    <r>
      <rPr>
        <b/>
        <sz val="10"/>
        <color theme="1"/>
        <rFont val="Trebuchet MS"/>
        <family val="2"/>
      </rPr>
      <t>Total current liabilities</t>
    </r>
  </si>
  <si>
    <r>
      <rPr>
        <b/>
        <sz val="10"/>
        <color theme="1"/>
        <rFont val="Trebuchet MS"/>
        <family val="2"/>
      </rPr>
      <t>Total liabilities</t>
    </r>
  </si>
  <si>
    <r>
      <rPr>
        <b/>
        <sz val="10"/>
        <color theme="1"/>
        <rFont val="Trebuchet MS"/>
        <family val="2"/>
      </rPr>
      <t>Total equity and liabilities</t>
    </r>
  </si>
  <si>
    <t>Details</t>
  </si>
  <si>
    <t>Units</t>
  </si>
  <si>
    <t>FY24</t>
  </si>
  <si>
    <t>H1FY25</t>
  </si>
  <si>
    <t>Telecom Revenue of OMC</t>
  </si>
  <si>
    <t>Total Units sold to Indus and ATC</t>
  </si>
  <si>
    <t>90,45,663</t>
  </si>
  <si>
    <t>45,79,179</t>
  </si>
  <si>
    <t>Solar Generation</t>
  </si>
  <si>
    <t>96,28,902</t>
  </si>
  <si>
    <t>52,92,035</t>
  </si>
  <si>
    <t>DG Generation</t>
  </si>
  <si>
    <t>41,25,814</t>
  </si>
  <si>
    <t>13,67,195</t>
  </si>
  <si>
    <t>Diesel consumption</t>
  </si>
  <si>
    <t>(Litres)</t>
  </si>
  <si>
    <t>15,66,872</t>
  </si>
  <si>
    <t>7,03,292</t>
  </si>
  <si>
    <t>Monthly Avg Diesel Rate</t>
  </si>
  <si>
    <t>(Rs. / Litres)</t>
  </si>
  <si>
    <t>Diesel Expense</t>
  </si>
  <si>
    <t>% Diesel units to total billed units</t>
  </si>
  <si>
    <t>% Solar units to total billed units</t>
  </si>
  <si>
    <t>Query sheet for rating process of OMC Power Limited</t>
  </si>
  <si>
    <t>Operational plant mix of the company</t>
  </si>
  <si>
    <t>Business</t>
  </si>
  <si>
    <t>Actual</t>
  </si>
  <si>
    <t>Projected</t>
  </si>
  <si>
    <t>MW</t>
  </si>
  <si>
    <t>Pure Telecom Sites</t>
  </si>
  <si>
    <t>Mixed Sites (Telecom + Minigrid)</t>
  </si>
  <si>
    <t>Pure Minigrid</t>
  </si>
  <si>
    <t>Rooftop Solar</t>
  </si>
  <si>
    <t>Asset mix of the company as on March 31,2024</t>
  </si>
  <si>
    <t>Sites</t>
  </si>
  <si>
    <t>Solar Capacity</t>
  </si>
  <si>
    <t>Battery Capacity</t>
  </si>
  <si>
    <t>DG Capacity</t>
  </si>
  <si>
    <t>(kWp)</t>
  </si>
  <si>
    <t>(MWh)</t>
  </si>
  <si>
    <t>(kVA)</t>
  </si>
  <si>
    <t>- Average telecom capacity/ site</t>
  </si>
  <si>
    <t>- Average mixed-use cap / site</t>
  </si>
  <si>
    <t>-Average Minigrid cap / site</t>
  </si>
  <si>
    <t>Asset mix of the company as on Sep 30,2024</t>
  </si>
  <si>
    <t>H1 FY25</t>
  </si>
  <si>
    <t>21.47 Cr.</t>
  </si>
  <si>
    <t>10.73 Cr.</t>
  </si>
  <si>
    <t>90,45,663 KWh</t>
  </si>
  <si>
    <t>45,79,179 KWh</t>
  </si>
  <si>
    <t>Solar Generation (A,ABC)</t>
  </si>
  <si>
    <t>96,28,902 KWh</t>
  </si>
  <si>
    <t>52,92,035 KWh</t>
  </si>
  <si>
    <t>DG Generation (A,ABC)</t>
  </si>
  <si>
    <t>41,25,814 KWh</t>
  </si>
  <si>
    <t>13,67,195 KWh</t>
  </si>
  <si>
    <t>Diesel consumption(A,ABC)</t>
  </si>
  <si>
    <t>7,03,292.96</t>
  </si>
  <si>
    <t>Diesel Expense(A,ABC)</t>
  </si>
  <si>
    <t>14.07 Cr.</t>
  </si>
  <si>
    <t>6.19 Cr.</t>
  </si>
  <si>
    <t>1Q FY24</t>
  </si>
  <si>
    <t>2Q FY24</t>
  </si>
  <si>
    <t>3Q FY24</t>
  </si>
  <si>
    <t>4Q FY24</t>
  </si>
  <si>
    <t>1Q FY25</t>
  </si>
  <si>
    <t>2Q FY25</t>
  </si>
  <si>
    <t>2,84,516.8</t>
  </si>
  <si>
    <t>6,19,759.6</t>
  </si>
  <si>
    <t>3,39,611.0</t>
  </si>
  <si>
    <t>3,22,984.4</t>
  </si>
  <si>
    <t>2,34,668.3</t>
  </si>
  <si>
    <t>4,68,624.6</t>
  </si>
  <si>
    <t>Debt Repayment of Term Loans</t>
  </si>
  <si>
    <t>Q3FY25 (*)</t>
  </si>
  <si>
    <t>Q4FY25</t>
  </si>
  <si>
    <t>Q1FY26</t>
  </si>
  <si>
    <t>Q2FY26</t>
  </si>
  <si>
    <t>Principal Repayment</t>
  </si>
  <si>
    <t>13,12,68,908/-</t>
  </si>
  <si>
    <t>1,31,43,908/-</t>
  </si>
  <si>
    <t>1,05,06,338/-</t>
  </si>
  <si>
    <t>4,21,57,175/-</t>
  </si>
  <si>
    <t>*includes RBL Repayment of 11,81,25,000</t>
  </si>
  <si>
    <t>Shareholders' Name</t>
  </si>
  <si>
    <t>Non-Fully Diluted Basis</t>
  </si>
  <si>
    <t>Fully Diluted Basis</t>
  </si>
  <si>
    <t>Investor Type</t>
  </si>
  <si>
    <t>No. of Shares</t>
  </si>
  <si>
    <t>Percentage</t>
  </si>
  <si>
    <t>OMC Televentures Pvt. Ltd.</t>
  </si>
  <si>
    <t>Co-founders</t>
  </si>
  <si>
    <t>Khattar Holdings Pte. Ltd.</t>
  </si>
  <si>
    <t>Investors</t>
  </si>
  <si>
    <t>Khattar Estates Pvt. Ltd.</t>
  </si>
  <si>
    <t>Consortium Associates</t>
  </si>
  <si>
    <t>Mrs. P K Tripathi</t>
  </si>
  <si>
    <t>Mr. Murarilal Tulsyan</t>
  </si>
  <si>
    <t>Cultivat 3 AB</t>
  </si>
  <si>
    <t>Aurum Renewable Energy</t>
  </si>
  <si>
    <t>Mr. Vallabh Bhanshali</t>
  </si>
  <si>
    <t>Investor, Ex- Enam</t>
  </si>
  <si>
    <t>The World We Want Foundation</t>
  </si>
  <si>
    <t>Singapore Based Investors</t>
  </si>
  <si>
    <t>Kirsten Poitras</t>
  </si>
  <si>
    <t>Energy Investment Tech Pte Ltd</t>
  </si>
  <si>
    <t>Singapore based RE Investor</t>
  </si>
  <si>
    <t>Mitsui</t>
  </si>
  <si>
    <t>Mitsui Group</t>
  </si>
  <si>
    <t>Chubu Electric Power</t>
  </si>
  <si>
    <t>Chubu Group</t>
  </si>
  <si>
    <t>Mitsui (holding as CCPS)</t>
  </si>
  <si>
    <t>Chubu Electric Power (holding as CCPS)</t>
  </si>
  <si>
    <t>As per PPA</t>
  </si>
  <si>
    <t>As per EPC</t>
  </si>
  <si>
    <t>Based on agreement</t>
  </si>
  <si>
    <t xml:space="preserve">circular of gst </t>
  </si>
  <si>
    <t>clear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</si>
</sst>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 * #,##0.00_ ;_ * \-#,##0.00_ ;_ * &quot;-&quot;??_ ;_ @_ "/>
    <numFmt numFmtId="164" formatCode="0.0##%"/>
    <numFmt numFmtId="165" formatCode="&quot; &quot;* #,##0&quot; &quot;;&quot; &quot;* \(#,##0\);&quot; &quot;* &quot;-&quot;??&quot; &quot;"/>
    <numFmt numFmtId="166" formatCode="&quot; &quot;* #,##0.00&quot; &quot;;&quot; &quot;* \(#,##0.00\);&quot; &quot;* &quot;-&quot;??.00&quot; &quot;"/>
    <numFmt numFmtId="167" formatCode="#,##0.00%"/>
    <numFmt numFmtId="168" formatCode="0.0"/>
    <numFmt numFmtId="169" formatCode="dd&quot;-&quot;mm&quot;-&quot;yyyy"/>
    <numFmt numFmtId="170" formatCode="d&quot;-&quot;mmm&quot;-&quot;yy"/>
    <numFmt numFmtId="171" formatCode="&quot; &quot;* #,##0.00&quot; &quot;;&quot; &quot;* \(#,##0.00\);&quot; &quot;* &quot;-&quot;??&quot; &quot;"/>
    <numFmt numFmtId="172" formatCode="mmmm\ yyyy"/>
    <numFmt numFmtId="173" formatCode="d&quot;-&quot;mmm&quot;-&quot;yyyy"/>
    <numFmt numFmtId="174" formatCode="&quot; &quot;* #,##0.00&quot; &quot;;&quot; &quot;* &quot;-&quot;#,##0.00&quot; &quot;;&quot; &quot;* &quot;-&quot;??&quot; &quot;"/>
    <numFmt numFmtId="175" formatCode="mmmm\ d\,\ yyyy"/>
    <numFmt numFmtId="176" formatCode="_ * #,##0.00000_ ;_ * \-#,##0.00000_ ;_ * &quot;-&quot;??_ ;_ @_ "/>
  </numFmts>
  <fonts count="55">
    <font>
      <sz val="12"/>
      <color theme="1"/>
      <name val="Aptos Narrow"/>
      <scheme val="minor"/>
    </font>
    <font>
      <sz val="70"/>
      <color theme="1"/>
      <name val="Calibri"/>
      <family val="2"/>
    </font>
    <font>
      <sz val="11"/>
      <color theme="1"/>
      <name val="Calibri"/>
      <family val="2"/>
    </font>
    <font>
      <b/>
      <sz val="72"/>
      <color theme="1"/>
      <name val="Calibri"/>
      <family val="2"/>
    </font>
    <font>
      <b/>
      <sz val="12"/>
      <color rgb="FF262140"/>
      <name val="Helvetica Neue"/>
    </font>
    <font>
      <sz val="12"/>
      <name val="Aptos Narrow"/>
      <family val="2"/>
    </font>
    <font>
      <b/>
      <sz val="11"/>
      <color rgb="FF262140"/>
      <name val="Helvetica Neue"/>
    </font>
    <font>
      <b/>
      <sz val="11"/>
      <color theme="1"/>
      <name val="Helvetica Neue"/>
    </font>
    <font>
      <sz val="11"/>
      <color rgb="FF262140"/>
      <name val="Helvetica Neue"/>
    </font>
    <font>
      <sz val="11"/>
      <color theme="1"/>
      <name val="Helvetica Neue"/>
    </font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11"/>
      <color theme="1"/>
      <name val="Arial"/>
      <family val="2"/>
    </font>
    <font>
      <sz val="12"/>
      <color theme="1"/>
      <name val="Aptos Narrow"/>
      <family val="2"/>
    </font>
    <font>
      <b/>
      <sz val="12"/>
      <color theme="1"/>
      <name val="Aptos Narrow"/>
      <family val="2"/>
    </font>
    <font>
      <sz val="11"/>
      <color rgb="FFFFFFFF"/>
      <name val="Arial"/>
      <family val="2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Helvetica Neue"/>
    </font>
    <font>
      <sz val="10"/>
      <color theme="1"/>
      <name val="Helvetica Neue"/>
    </font>
    <font>
      <b/>
      <sz val="11"/>
      <color rgb="FFFFFFFF"/>
      <name val="Helvetica Neue"/>
    </font>
    <font>
      <b/>
      <u/>
      <sz val="11"/>
      <color theme="1"/>
      <name val="Helvetica Neue"/>
    </font>
    <font>
      <b/>
      <u/>
      <sz val="11"/>
      <color theme="1"/>
      <name val="Helvetica Neue"/>
    </font>
    <font>
      <b/>
      <u/>
      <sz val="11"/>
      <color theme="1"/>
      <name val="Helvetica Neue"/>
    </font>
    <font>
      <b/>
      <sz val="11"/>
      <color theme="1"/>
      <name val="Calibri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</font>
    <font>
      <sz val="10"/>
      <color rgb="FF262140"/>
      <name val="Helvetica Neue"/>
    </font>
    <font>
      <b/>
      <sz val="10"/>
      <color rgb="FF262140"/>
      <name val="Helvetica Neue"/>
    </font>
    <font>
      <i/>
      <sz val="8"/>
      <color theme="1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b/>
      <sz val="8"/>
      <color rgb="FF000000"/>
      <name val="Trebuchet MS"/>
      <family val="2"/>
    </font>
    <font>
      <sz val="8"/>
      <color rgb="FF000000"/>
      <name val="Trebuchet MS"/>
      <family val="2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9"/>
      <color rgb="FF000000"/>
      <name val="Trebuchet MS"/>
      <family val="2"/>
    </font>
    <font>
      <sz val="9"/>
      <color theme="1"/>
      <name val="Trebuchet MS"/>
      <family val="2"/>
    </font>
    <font>
      <sz val="9"/>
      <color rgb="FF222222"/>
      <name val="Trebuchet MS"/>
      <family val="2"/>
    </font>
    <font>
      <i/>
      <sz val="9"/>
      <color rgb="FF222222"/>
      <name val="Trebuchet MS"/>
      <family val="2"/>
    </font>
    <font>
      <b/>
      <u/>
      <sz val="9"/>
      <color rgb="FF000000"/>
      <name val="Trebuchet MS"/>
      <family val="2"/>
    </font>
    <font>
      <b/>
      <u/>
      <sz val="9"/>
      <color rgb="FF000000"/>
      <name val="Trebuchet MS"/>
      <family val="2"/>
    </font>
    <font>
      <i/>
      <sz val="9"/>
      <color rgb="FF000000"/>
      <name val="Trebuchet MS"/>
      <family val="2"/>
    </font>
    <font>
      <sz val="9"/>
      <color rgb="FF000000"/>
      <name val="Trebuchet MS"/>
      <family val="2"/>
    </font>
    <font>
      <b/>
      <sz val="9"/>
      <color rgb="FF000000"/>
      <name val="&quot;Helvetica Neue&quot;"/>
    </font>
    <font>
      <sz val="9"/>
      <color rgb="FF000000"/>
      <name val="Aptos Narrow"/>
      <family val="2"/>
      <scheme val="minor"/>
    </font>
    <font>
      <sz val="9"/>
      <color rgb="FF000000"/>
      <name val="&quot;Helvetica Neue&quot;"/>
    </font>
    <font>
      <sz val="9"/>
      <color rgb="FF000000"/>
      <name val="Arial"/>
      <family val="2"/>
    </font>
    <font>
      <b/>
      <sz val="10"/>
      <color rgb="FF000000"/>
      <name val="Helvetica Neue"/>
    </font>
    <font>
      <b/>
      <sz val="8"/>
      <color rgb="FFFFFFFF"/>
      <name val="Trebuchet MS"/>
      <family val="2"/>
    </font>
    <font>
      <sz val="12"/>
      <color theme="1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  <fill>
      <patternFill patternType="solid">
        <fgColor rgb="FFFFF2CC"/>
        <bgColor rgb="FFFFF2CC"/>
      </patternFill>
    </fill>
    <fill>
      <patternFill patternType="solid">
        <fgColor rgb="FFF9EAB4"/>
        <bgColor rgb="FFF9EAB4"/>
      </patternFill>
    </fill>
    <fill>
      <patternFill patternType="solid">
        <fgColor rgb="FF082A75"/>
        <bgColor rgb="FF082A75"/>
      </patternFill>
    </fill>
    <fill>
      <patternFill patternType="solid">
        <fgColor rgb="FFFAE2D5"/>
        <bgColor rgb="FFFAE2D5"/>
      </patternFill>
    </fill>
    <fill>
      <patternFill patternType="solid">
        <fgColor rgb="FFB3E5A1"/>
        <bgColor rgb="FFB3E5A1"/>
      </patternFill>
    </fill>
    <fill>
      <patternFill patternType="solid">
        <fgColor rgb="FFFFC000"/>
        <bgColor rgb="FFFFC000"/>
      </patternFill>
    </fill>
    <fill>
      <patternFill patternType="solid">
        <fgColor rgb="FFBB7E24"/>
        <bgColor rgb="FFBB7E24"/>
      </patternFill>
    </fill>
    <fill>
      <patternFill patternType="solid">
        <fgColor rgb="FFBDC0BF"/>
        <bgColor rgb="FFBDC0BF"/>
      </patternFill>
    </fill>
    <fill>
      <patternFill patternType="solid">
        <fgColor rgb="FF032F54"/>
        <bgColor rgb="FF032F54"/>
      </patternFill>
    </fill>
    <fill>
      <patternFill patternType="solid">
        <fgColor rgb="FF00B0F0"/>
        <bgColor rgb="FF00B0F0"/>
      </patternFill>
    </fill>
    <fill>
      <patternFill patternType="solid">
        <fgColor rgb="FFB6D7A8"/>
        <bgColor rgb="FFB6D7A8"/>
      </patternFill>
    </fill>
    <fill>
      <patternFill patternType="solid">
        <fgColor rgb="FF3B7C21"/>
        <bgColor rgb="FF3B7C21"/>
      </patternFill>
    </fill>
    <fill>
      <patternFill patternType="solid">
        <fgColor rgb="FFBFE6F4"/>
        <bgColor rgb="FFBFE6F4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rgb="FFAAAAAA"/>
      </left>
      <right/>
      <top style="thin">
        <color rgb="FFAAAAAA"/>
      </top>
      <bottom style="thin">
        <color rgb="FFA5A5A5"/>
      </bottom>
      <diagonal/>
    </border>
    <border>
      <left/>
      <right/>
      <top style="thin">
        <color rgb="FFAAAAAA"/>
      </top>
      <bottom style="thin">
        <color rgb="FFA5A5A5"/>
      </bottom>
      <diagonal/>
    </border>
    <border>
      <left/>
      <right/>
      <top style="thin">
        <color rgb="FFAAAAAA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3F3F3F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/>
      <top style="thin">
        <color rgb="FFA5A5A5"/>
      </top>
      <bottom style="thin">
        <color rgb="FF000000"/>
      </bottom>
      <diagonal/>
    </border>
    <border>
      <left/>
      <right/>
      <top style="thin">
        <color rgb="FFA5A5A5"/>
      </top>
      <bottom style="thin">
        <color rgb="FF000000"/>
      </bottom>
      <diagonal/>
    </border>
    <border>
      <left/>
      <right style="thin">
        <color rgb="FFA5A5A5"/>
      </right>
      <top style="thin">
        <color rgb="FFA5A5A5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A5A5A5"/>
      </left>
      <right/>
      <top style="thin">
        <color rgb="FF000000"/>
      </top>
      <bottom style="thin">
        <color rgb="FFA5A5A5"/>
      </bottom>
      <diagonal/>
    </border>
    <border>
      <left style="thin">
        <color rgb="FFAAAAAA"/>
      </left>
      <right/>
      <top style="thin">
        <color rgb="FFA5A5A5"/>
      </top>
      <bottom style="thin">
        <color rgb="FFA5A5A5"/>
      </bottom>
      <diagonal/>
    </border>
    <border>
      <left/>
      <right/>
      <top/>
      <bottom style="thin">
        <color rgb="FFA5A5A5"/>
      </bottom>
      <diagonal/>
    </border>
    <border>
      <left/>
      <right/>
      <top style="thin">
        <color rgb="FF000000"/>
      </top>
      <bottom/>
      <diagonal/>
    </border>
    <border>
      <left style="thin">
        <color rgb="FFA5A5A5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AAAAAA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AAAAAA"/>
      </left>
      <right/>
      <top style="thin">
        <color rgb="FFAAAAAA"/>
      </top>
      <bottom style="thin">
        <color rgb="FF000000"/>
      </bottom>
      <diagonal/>
    </border>
    <border>
      <left/>
      <right/>
      <top style="thin">
        <color rgb="FFAAAAAA"/>
      </top>
      <bottom style="thin">
        <color rgb="FF000000"/>
      </bottom>
      <diagonal/>
    </border>
    <border>
      <left/>
      <right style="thin">
        <color rgb="FFAAAAAA"/>
      </right>
      <top style="thin">
        <color rgb="FFAAAAAA"/>
      </top>
      <bottom style="thin">
        <color rgb="FF000000"/>
      </bottom>
      <diagonal/>
    </border>
    <border>
      <left style="thin">
        <color rgb="FFAAAAAA"/>
      </left>
      <right/>
      <top style="thin">
        <color rgb="FFAAAAAA"/>
      </top>
      <bottom style="thin">
        <color rgb="FF000000"/>
      </bottom>
      <diagonal/>
    </border>
    <border>
      <left/>
      <right/>
      <top style="thin">
        <color rgb="FFAAAAAA"/>
      </top>
      <bottom/>
      <diagonal/>
    </border>
    <border>
      <left style="thin">
        <color rgb="FFAAAAAA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AAAAAA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AAAAAA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AAAAAA"/>
      </left>
      <right/>
      <top/>
      <bottom/>
      <diagonal/>
    </border>
    <border>
      <left/>
      <right/>
      <top style="thin">
        <color rgb="FFAAAAAA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AAAAAA"/>
      </left>
      <right/>
      <top/>
      <bottom style="thin">
        <color rgb="FFAAAAAA"/>
      </bottom>
      <diagonal/>
    </border>
    <border>
      <left/>
      <right/>
      <top/>
      <bottom style="thin">
        <color rgb="FFAAAAAA"/>
      </bottom>
      <diagonal/>
    </border>
    <border>
      <left/>
      <right style="thin">
        <color rgb="FFAAAAAA"/>
      </right>
      <top style="thin">
        <color rgb="FFAAAAAA"/>
      </top>
      <bottom style="thin">
        <color rgb="FFA5A5A5"/>
      </bottom>
      <diagonal/>
    </border>
    <border>
      <left style="thin">
        <color rgb="FFA5A5A5"/>
      </left>
      <right style="thin">
        <color rgb="FF3F3F3F"/>
      </right>
      <top style="thin">
        <color rgb="FF3F3F3F"/>
      </top>
      <bottom style="thin">
        <color rgb="FFA5A5A5"/>
      </bottom>
      <diagonal/>
    </border>
    <border>
      <left style="thin">
        <color rgb="FF3F3F3F"/>
      </left>
      <right style="thin">
        <color rgb="FFA5A5A5"/>
      </right>
      <top style="thin">
        <color rgb="FF3F3F3F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3F3F3F"/>
      </top>
      <bottom style="thin">
        <color rgb="FFA5A5A5"/>
      </bottom>
      <diagonal/>
    </border>
    <border>
      <left style="thin">
        <color rgb="FFA5A5A5"/>
      </left>
      <right style="thin">
        <color rgb="FF3F3F3F"/>
      </right>
      <top style="thin">
        <color rgb="FFA5A5A5"/>
      </top>
      <bottom style="thin">
        <color rgb="FFA5A5A5"/>
      </bottom>
      <diagonal/>
    </border>
    <border>
      <left style="thin">
        <color rgb="FF3F3F3F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3" fontId="52" fillId="0" borderId="0" applyFont="0" applyFill="0" applyBorder="0" applyAlignment="0" applyProtection="0"/>
  </cellStyleXfs>
  <cellXfs count="3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49" fontId="6" fillId="3" borderId="4" xfId="0" applyNumberFormat="1" applyFont="1" applyFill="1" applyBorder="1" applyAlignment="1">
      <alignment vertical="top" wrapText="1"/>
    </xf>
    <xf numFmtId="49" fontId="7" fillId="3" borderId="4" xfId="0" applyNumberFormat="1" applyFont="1" applyFill="1" applyBorder="1" applyAlignment="1">
      <alignment horizontal="center" vertical="top" wrapText="1"/>
    </xf>
    <xf numFmtId="49" fontId="8" fillId="2" borderId="5" xfId="0" applyNumberFormat="1" applyFont="1" applyFill="1" applyBorder="1" applyAlignment="1">
      <alignment vertical="top" wrapText="1"/>
    </xf>
    <xf numFmtId="4" fontId="9" fillId="2" borderId="5" xfId="0" applyNumberFormat="1" applyFont="1" applyFill="1" applyBorder="1" applyAlignment="1">
      <alignment horizontal="center" vertical="top" wrapText="1"/>
    </xf>
    <xf numFmtId="164" fontId="9" fillId="2" borderId="5" xfId="0" applyNumberFormat="1" applyFont="1" applyFill="1" applyBorder="1" applyAlignment="1">
      <alignment horizontal="center" vertical="top" wrapText="1"/>
    </xf>
    <xf numFmtId="3" fontId="9" fillId="2" borderId="5" xfId="0" applyNumberFormat="1" applyFont="1" applyFill="1" applyBorder="1" applyAlignment="1">
      <alignment horizontal="center" vertical="top" wrapText="1"/>
    </xf>
    <xf numFmtId="49" fontId="9" fillId="2" borderId="5" xfId="0" applyNumberFormat="1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2" fontId="9" fillId="2" borderId="5" xfId="0" applyNumberFormat="1" applyFont="1" applyFill="1" applyBorder="1" applyAlignment="1">
      <alignment horizontal="center" vertical="top" wrapText="1"/>
    </xf>
    <xf numFmtId="9" fontId="9" fillId="2" borderId="5" xfId="0" applyNumberFormat="1" applyFont="1" applyFill="1" applyBorder="1" applyAlignment="1">
      <alignment horizontal="center" vertical="top" wrapText="1"/>
    </xf>
    <xf numFmtId="10" fontId="9" fillId="2" borderId="5" xfId="0" applyNumberFormat="1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vertical="top"/>
    </xf>
    <xf numFmtId="3" fontId="9" fillId="2" borderId="5" xfId="0" applyNumberFormat="1" applyFont="1" applyFill="1" applyBorder="1" applyAlignment="1">
      <alignment vertical="top"/>
    </xf>
    <xf numFmtId="49" fontId="7" fillId="3" borderId="9" xfId="0" applyNumberFormat="1" applyFont="1" applyFill="1" applyBorder="1" applyAlignment="1">
      <alignment horizontal="center" vertical="center"/>
    </xf>
    <xf numFmtId="49" fontId="7" fillId="3" borderId="9" xfId="0" applyNumberFormat="1" applyFont="1" applyFill="1" applyBorder="1" applyAlignment="1">
      <alignment vertical="center"/>
    </xf>
    <xf numFmtId="4" fontId="7" fillId="3" borderId="9" xfId="0" applyNumberFormat="1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vertical="center"/>
    </xf>
    <xf numFmtId="165" fontId="9" fillId="0" borderId="9" xfId="0" applyNumberFormat="1" applyFont="1" applyBorder="1" applyAlignment="1">
      <alignment horizontal="center" vertical="center"/>
    </xf>
    <xf numFmtId="4" fontId="9" fillId="2" borderId="9" xfId="0" applyNumberFormat="1" applyFont="1" applyFill="1" applyBorder="1" applyAlignment="1">
      <alignment horizontal="center" vertical="center"/>
    </xf>
    <xf numFmtId="4" fontId="9" fillId="0" borderId="9" xfId="0" applyNumberFormat="1" applyFont="1" applyBorder="1" applyAlignment="1">
      <alignment horizontal="right" vertical="center"/>
    </xf>
    <xf numFmtId="10" fontId="9" fillId="2" borderId="9" xfId="0" applyNumberFormat="1" applyFont="1" applyFill="1" applyBorder="1" applyAlignment="1">
      <alignment horizontal="right" vertical="center"/>
    </xf>
    <xf numFmtId="4" fontId="9" fillId="2" borderId="9" xfId="0" applyNumberFormat="1" applyFont="1" applyFill="1" applyBorder="1" applyAlignment="1">
      <alignment horizontal="right" vertical="center"/>
    </xf>
    <xf numFmtId="49" fontId="9" fillId="2" borderId="9" xfId="0" applyNumberFormat="1" applyFont="1" applyFill="1" applyBorder="1" applyAlignment="1">
      <alignment vertical="center" wrapText="1"/>
    </xf>
    <xf numFmtId="4" fontId="9" fillId="2" borderId="9" xfId="0" applyNumberFormat="1" applyFont="1" applyFill="1" applyBorder="1" applyAlignment="1">
      <alignment horizontal="center" vertical="center" wrapText="1"/>
    </xf>
    <xf numFmtId="166" fontId="9" fillId="2" borderId="9" xfId="0" applyNumberFormat="1" applyFont="1" applyFill="1" applyBorder="1" applyAlignment="1">
      <alignment horizontal="right" vertical="center"/>
    </xf>
    <xf numFmtId="9" fontId="9" fillId="2" borderId="9" xfId="0" applyNumberFormat="1" applyFont="1" applyFill="1" applyBorder="1" applyAlignment="1">
      <alignment horizontal="right" vertical="center"/>
    </xf>
    <xf numFmtId="3" fontId="9" fillId="2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vertical="center" wrapText="1"/>
    </xf>
    <xf numFmtId="4" fontId="8" fillId="2" borderId="9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4" fontId="6" fillId="0" borderId="9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right" vertical="center"/>
    </xf>
    <xf numFmtId="4" fontId="6" fillId="0" borderId="9" xfId="0" applyNumberFormat="1" applyFont="1" applyBorder="1" applyAlignment="1">
      <alignment horizontal="righ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4" fontId="8" fillId="0" borderId="13" xfId="0" applyNumberFormat="1" applyFont="1" applyBorder="1" applyAlignment="1">
      <alignment horizontal="right" vertical="center"/>
    </xf>
    <xf numFmtId="0" fontId="9" fillId="0" borderId="14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5" xfId="0" applyFont="1" applyBorder="1" applyAlignment="1">
      <alignment vertical="center"/>
    </xf>
    <xf numFmtId="4" fontId="9" fillId="0" borderId="9" xfId="0" applyNumberFormat="1" applyFont="1" applyBorder="1" applyAlignment="1">
      <alignment horizontal="center" vertical="center"/>
    </xf>
    <xf numFmtId="167" fontId="8" fillId="0" borderId="15" xfId="0" applyNumberFormat="1" applyFont="1" applyBorder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49" fontId="6" fillId="0" borderId="9" xfId="0" applyNumberFormat="1" applyFont="1" applyBorder="1" applyAlignment="1">
      <alignment vertical="center"/>
    </xf>
    <xf numFmtId="4" fontId="7" fillId="0" borderId="9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3" fontId="8" fillId="0" borderId="13" xfId="0" applyNumberFormat="1" applyFont="1" applyBorder="1" applyAlignment="1">
      <alignment horizontal="right" vertical="center"/>
    </xf>
    <xf numFmtId="0" fontId="10" fillId="0" borderId="0" xfId="0" applyFont="1"/>
    <xf numFmtId="0" fontId="11" fillId="0" borderId="0" xfId="0" applyFont="1"/>
    <xf numFmtId="0" fontId="11" fillId="0" borderId="9" xfId="0" applyFont="1" applyBorder="1"/>
    <xf numFmtId="4" fontId="10" fillId="0" borderId="9" xfId="0" applyNumberFormat="1" applyFont="1" applyBorder="1" applyAlignment="1">
      <alignment horizontal="center"/>
    </xf>
    <xf numFmtId="0" fontId="12" fillId="0" borderId="9" xfId="0" applyFont="1" applyBorder="1"/>
    <xf numFmtId="0" fontId="13" fillId="0" borderId="9" xfId="0" applyFont="1" applyBorder="1"/>
    <xf numFmtId="4" fontId="12" fillId="0" borderId="9" xfId="0" applyNumberFormat="1" applyFont="1" applyBorder="1" applyAlignment="1">
      <alignment horizontal="center"/>
    </xf>
    <xf numFmtId="4" fontId="10" fillId="0" borderId="0" xfId="0" applyNumberFormat="1" applyFont="1"/>
    <xf numFmtId="0" fontId="14" fillId="0" borderId="0" xfId="0" applyFont="1" applyAlignment="1">
      <alignment horizontal="center"/>
    </xf>
    <xf numFmtId="2" fontId="15" fillId="0" borderId="0" xfId="0" applyNumberFormat="1" applyFont="1" applyAlignment="1">
      <alignment horizontal="center"/>
    </xf>
    <xf numFmtId="0" fontId="16" fillId="6" borderId="9" xfId="0" applyFont="1" applyFill="1" applyBorder="1" applyAlignment="1">
      <alignment horizontal="center" vertical="center" wrapText="1" readingOrder="1"/>
    </xf>
    <xf numFmtId="0" fontId="16" fillId="6" borderId="17" xfId="0" applyFont="1" applyFill="1" applyBorder="1" applyAlignment="1">
      <alignment horizontal="center" vertical="center" wrapText="1" readingOrder="1"/>
    </xf>
    <xf numFmtId="2" fontId="16" fillId="6" borderId="17" xfId="0" applyNumberFormat="1" applyFont="1" applyFill="1" applyBorder="1" applyAlignment="1">
      <alignment horizontal="center" vertical="center" wrapText="1" readingOrder="1"/>
    </xf>
    <xf numFmtId="0" fontId="17" fillId="0" borderId="0" xfId="0" applyFont="1"/>
    <xf numFmtId="0" fontId="14" fillId="7" borderId="18" xfId="0" applyFont="1" applyFill="1" applyBorder="1" applyAlignment="1">
      <alignment horizontal="center"/>
    </xf>
    <xf numFmtId="1" fontId="14" fillId="0" borderId="0" xfId="0" applyNumberFormat="1" applyFont="1" applyAlignment="1">
      <alignment horizontal="center"/>
    </xf>
    <xf numFmtId="4" fontId="14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center"/>
    </xf>
    <xf numFmtId="0" fontId="18" fillId="0" borderId="0" xfId="0" applyFont="1"/>
    <xf numFmtId="0" fontId="15" fillId="8" borderId="18" xfId="0" applyFont="1" applyFill="1" applyBorder="1"/>
    <xf numFmtId="0" fontId="15" fillId="8" borderId="18" xfId="0" applyFont="1" applyFill="1" applyBorder="1" applyAlignment="1">
      <alignment horizontal="center"/>
    </xf>
    <xf numFmtId="1" fontId="15" fillId="8" borderId="18" xfId="0" applyNumberFormat="1" applyFont="1" applyFill="1" applyBorder="1" applyAlignment="1">
      <alignment horizontal="center"/>
    </xf>
    <xf numFmtId="4" fontId="15" fillId="8" borderId="18" xfId="0" applyNumberFormat="1" applyFont="1" applyFill="1" applyBorder="1" applyAlignment="1">
      <alignment horizontal="center"/>
    </xf>
    <xf numFmtId="2" fontId="15" fillId="8" borderId="18" xfId="0" applyNumberFormat="1" applyFont="1" applyFill="1" applyBorder="1" applyAlignment="1">
      <alignment horizontal="center"/>
    </xf>
    <xf numFmtId="0" fontId="14" fillId="8" borderId="18" xfId="0" applyFont="1" applyFill="1" applyBorder="1"/>
    <xf numFmtId="0" fontId="14" fillId="8" borderId="18" xfId="0" applyFont="1" applyFill="1" applyBorder="1" applyAlignment="1">
      <alignment horizontal="center"/>
    </xf>
    <xf numFmtId="1" fontId="14" fillId="8" borderId="18" xfId="0" applyNumberFormat="1" applyFont="1" applyFill="1" applyBorder="1" applyAlignment="1">
      <alignment horizontal="center"/>
    </xf>
    <xf numFmtId="2" fontId="14" fillId="8" borderId="18" xfId="0" applyNumberFormat="1" applyFont="1" applyFill="1" applyBorder="1" applyAlignment="1">
      <alignment horizontal="center"/>
    </xf>
    <xf numFmtId="0" fontId="14" fillId="9" borderId="18" xfId="0" applyFont="1" applyFill="1" applyBorder="1"/>
    <xf numFmtId="0" fontId="14" fillId="9" borderId="18" xfId="0" applyFont="1" applyFill="1" applyBorder="1" applyAlignment="1">
      <alignment horizontal="center"/>
    </xf>
    <xf numFmtId="2" fontId="14" fillId="9" borderId="18" xfId="0" applyNumberFormat="1" applyFont="1" applyFill="1" applyBorder="1" applyAlignment="1">
      <alignment horizontal="center"/>
    </xf>
    <xf numFmtId="0" fontId="19" fillId="3" borderId="9" xfId="0" applyFont="1" applyFill="1" applyBorder="1" applyAlignment="1">
      <alignment horizontal="left" readingOrder="1"/>
    </xf>
    <xf numFmtId="3" fontId="19" fillId="3" borderId="9" xfId="0" applyNumberFormat="1" applyFont="1" applyFill="1" applyBorder="1" applyAlignment="1">
      <alignment horizontal="left" readingOrder="1"/>
    </xf>
    <xf numFmtId="0" fontId="20" fillId="0" borderId="9" xfId="0" applyFont="1" applyBorder="1"/>
    <xf numFmtId="3" fontId="20" fillId="0" borderId="9" xfId="0" applyNumberFormat="1" applyFont="1" applyBorder="1"/>
    <xf numFmtId="0" fontId="19" fillId="0" borderId="9" xfId="0" applyFont="1" applyBorder="1"/>
    <xf numFmtId="3" fontId="19" fillId="0" borderId="9" xfId="0" applyNumberFormat="1" applyFont="1" applyBorder="1"/>
    <xf numFmtId="0" fontId="19" fillId="3" borderId="9" xfId="0" applyFont="1" applyFill="1" applyBorder="1" applyAlignment="1">
      <alignment vertical="top" wrapText="1"/>
    </xf>
    <xf numFmtId="0" fontId="19" fillId="3" borderId="9" xfId="0" applyFont="1" applyFill="1" applyBorder="1" applyAlignment="1">
      <alignment horizontal="left" vertical="top" wrapText="1" readingOrder="1"/>
    </xf>
    <xf numFmtId="4" fontId="19" fillId="3" borderId="9" xfId="0" applyNumberFormat="1" applyFont="1" applyFill="1" applyBorder="1" applyAlignment="1">
      <alignment horizontal="left" vertical="top" wrapText="1" readingOrder="1"/>
    </xf>
    <xf numFmtId="3" fontId="19" fillId="3" borderId="9" xfId="0" applyNumberFormat="1" applyFont="1" applyFill="1" applyBorder="1" applyAlignment="1">
      <alignment horizontal="left" vertical="top" wrapText="1" readingOrder="1"/>
    </xf>
    <xf numFmtId="0" fontId="20" fillId="0" borderId="9" xfId="0" applyFont="1" applyBorder="1" applyAlignment="1">
      <alignment wrapText="1"/>
    </xf>
    <xf numFmtId="1" fontId="20" fillId="0" borderId="9" xfId="0" applyNumberFormat="1" applyFont="1" applyBorder="1" applyAlignment="1">
      <alignment wrapText="1"/>
    </xf>
    <xf numFmtId="4" fontId="20" fillId="0" borderId="9" xfId="0" applyNumberFormat="1" applyFont="1" applyBorder="1" applyAlignment="1">
      <alignment wrapText="1"/>
    </xf>
    <xf numFmtId="3" fontId="20" fillId="0" borderId="9" xfId="0" applyNumberFormat="1" applyFont="1" applyBorder="1" applyAlignment="1">
      <alignment wrapText="1"/>
    </xf>
    <xf numFmtId="168" fontId="20" fillId="0" borderId="9" xfId="0" applyNumberFormat="1" applyFont="1" applyBorder="1" applyAlignment="1">
      <alignment wrapText="1"/>
    </xf>
    <xf numFmtId="0" fontId="17" fillId="0" borderId="9" xfId="0" applyFont="1" applyBorder="1" applyAlignment="1">
      <alignment wrapText="1"/>
    </xf>
    <xf numFmtId="4" fontId="17" fillId="0" borderId="9" xfId="0" applyNumberFormat="1" applyFont="1" applyBorder="1" applyAlignment="1">
      <alignment wrapText="1"/>
    </xf>
    <xf numFmtId="3" fontId="17" fillId="0" borderId="9" xfId="0" applyNumberFormat="1" applyFont="1" applyBorder="1" applyAlignment="1">
      <alignment wrapText="1"/>
    </xf>
    <xf numFmtId="3" fontId="10" fillId="0" borderId="9" xfId="0" applyNumberFormat="1" applyFont="1" applyBorder="1" applyAlignment="1">
      <alignment wrapText="1"/>
    </xf>
    <xf numFmtId="4" fontId="10" fillId="0" borderId="9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4" fontId="17" fillId="0" borderId="0" xfId="0" applyNumberFormat="1" applyFont="1" applyAlignment="1">
      <alignment wrapText="1"/>
    </xf>
    <xf numFmtId="3" fontId="17" fillId="0" borderId="0" xfId="0" applyNumberFormat="1" applyFont="1" applyAlignment="1">
      <alignment wrapText="1"/>
    </xf>
    <xf numFmtId="49" fontId="21" fillId="10" borderId="19" xfId="0" applyNumberFormat="1" applyFont="1" applyFill="1" applyBorder="1"/>
    <xf numFmtId="4" fontId="9" fillId="11" borderId="20" xfId="0" applyNumberFormat="1" applyFont="1" applyFill="1" applyBorder="1"/>
    <xf numFmtId="0" fontId="9" fillId="11" borderId="20" xfId="0" applyFont="1" applyFill="1" applyBorder="1"/>
    <xf numFmtId="0" fontId="9" fillId="11" borderId="21" xfId="0" applyFont="1" applyFill="1" applyBorder="1"/>
    <xf numFmtId="0" fontId="9" fillId="0" borderId="22" xfId="0" applyFont="1" applyBorder="1"/>
    <xf numFmtId="0" fontId="9" fillId="0" borderId="23" xfId="0" applyFont="1" applyBorder="1"/>
    <xf numFmtId="49" fontId="21" fillId="12" borderId="9" xfId="0" applyNumberFormat="1" applyFont="1" applyFill="1" applyBorder="1"/>
    <xf numFmtId="169" fontId="21" fillId="12" borderId="9" xfId="0" applyNumberFormat="1" applyFont="1" applyFill="1" applyBorder="1" applyAlignment="1">
      <alignment horizontal="right"/>
    </xf>
    <xf numFmtId="0" fontId="7" fillId="3" borderId="0" xfId="0" applyFont="1" applyFill="1"/>
    <xf numFmtId="49" fontId="9" fillId="9" borderId="9" xfId="0" applyNumberFormat="1" applyFont="1" applyFill="1" applyBorder="1"/>
    <xf numFmtId="0" fontId="9" fillId="9" borderId="9" xfId="0" applyFont="1" applyFill="1" applyBorder="1"/>
    <xf numFmtId="0" fontId="7" fillId="9" borderId="9" xfId="0" applyFont="1" applyFill="1" applyBorder="1" applyAlignment="1">
      <alignment horizontal="right"/>
    </xf>
    <xf numFmtId="49" fontId="22" fillId="0" borderId="24" xfId="0" applyNumberFormat="1" applyFont="1" applyBorder="1"/>
    <xf numFmtId="0" fontId="9" fillId="0" borderId="9" xfId="0" applyFont="1" applyBorder="1"/>
    <xf numFmtId="165" fontId="9" fillId="0" borderId="9" xfId="0" applyNumberFormat="1" applyFont="1" applyBorder="1"/>
    <xf numFmtId="165" fontId="9" fillId="0" borderId="9" xfId="0" applyNumberFormat="1" applyFont="1" applyBorder="1" applyAlignment="1">
      <alignment horizontal="right"/>
    </xf>
    <xf numFmtId="165" fontId="7" fillId="3" borderId="0" xfId="0" applyNumberFormat="1" applyFont="1" applyFill="1"/>
    <xf numFmtId="49" fontId="9" fillId="0" borderId="9" xfId="0" applyNumberFormat="1" applyFont="1" applyBorder="1"/>
    <xf numFmtId="170" fontId="9" fillId="0" borderId="9" xfId="0" applyNumberFormat="1" applyFont="1" applyBorder="1" applyAlignment="1">
      <alignment horizontal="right"/>
    </xf>
    <xf numFmtId="0" fontId="9" fillId="0" borderId="9" xfId="0" applyFont="1" applyBorder="1" applyAlignment="1">
      <alignment horizontal="right"/>
    </xf>
    <xf numFmtId="10" fontId="9" fillId="0" borderId="9" xfId="0" applyNumberFormat="1" applyFont="1" applyBorder="1" applyAlignment="1">
      <alignment horizontal="right"/>
    </xf>
    <xf numFmtId="49" fontId="9" fillId="0" borderId="9" xfId="0" applyNumberFormat="1" applyFont="1" applyBorder="1" applyAlignment="1">
      <alignment horizontal="right"/>
    </xf>
    <xf numFmtId="10" fontId="7" fillId="3" borderId="15" xfId="0" applyNumberFormat="1" applyFont="1" applyFill="1" applyBorder="1"/>
    <xf numFmtId="3" fontId="9" fillId="0" borderId="9" xfId="0" applyNumberFormat="1" applyFont="1" applyBorder="1" applyAlignment="1">
      <alignment horizontal="right"/>
    </xf>
    <xf numFmtId="1" fontId="7" fillId="3" borderId="15" xfId="0" applyNumberFormat="1" applyFont="1" applyFill="1" applyBorder="1"/>
    <xf numFmtId="171" fontId="9" fillId="0" borderId="9" xfId="0" applyNumberFormat="1" applyFont="1" applyBorder="1"/>
    <xf numFmtId="0" fontId="9" fillId="0" borderId="25" xfId="0" applyFont="1" applyBorder="1"/>
    <xf numFmtId="0" fontId="9" fillId="0" borderId="26" xfId="0" applyFont="1" applyBorder="1"/>
    <xf numFmtId="171" fontId="9" fillId="0" borderId="9" xfId="0" applyNumberFormat="1" applyFont="1" applyBorder="1" applyAlignment="1">
      <alignment horizontal="right"/>
    </xf>
    <xf numFmtId="0" fontId="9" fillId="0" borderId="27" xfId="0" applyFont="1" applyBorder="1"/>
    <xf numFmtId="2" fontId="9" fillId="0" borderId="9" xfId="0" applyNumberFormat="1" applyFont="1" applyBorder="1" applyAlignment="1">
      <alignment horizontal="right"/>
    </xf>
    <xf numFmtId="49" fontId="23" fillId="0" borderId="9" xfId="0" applyNumberFormat="1" applyFont="1" applyBorder="1"/>
    <xf numFmtId="4" fontId="7" fillId="3" borderId="0" xfId="0" applyNumberFormat="1" applyFont="1" applyFill="1" applyAlignment="1">
      <alignment horizontal="center"/>
    </xf>
    <xf numFmtId="49" fontId="24" fillId="13" borderId="28" xfId="0" applyNumberFormat="1" applyFont="1" applyFill="1" applyBorder="1"/>
    <xf numFmtId="0" fontId="9" fillId="13" borderId="29" xfId="0" applyFont="1" applyFill="1" applyBorder="1"/>
    <xf numFmtId="0" fontId="9" fillId="13" borderId="30" xfId="0" applyFont="1" applyFill="1" applyBorder="1"/>
    <xf numFmtId="49" fontId="8" fillId="0" borderId="9" xfId="0" applyNumberFormat="1" applyFont="1" applyBorder="1"/>
    <xf numFmtId="4" fontId="8" fillId="0" borderId="9" xfId="0" applyNumberFormat="1" applyFont="1" applyBorder="1" applyAlignment="1">
      <alignment horizontal="right"/>
    </xf>
    <xf numFmtId="2" fontId="9" fillId="0" borderId="9" xfId="0" applyNumberFormat="1" applyFont="1" applyBorder="1"/>
    <xf numFmtId="171" fontId="8" fillId="0" borderId="9" xfId="0" applyNumberFormat="1" applyFont="1" applyBorder="1" applyAlignment="1">
      <alignment horizontal="right"/>
    </xf>
    <xf numFmtId="0" fontId="20" fillId="0" borderId="0" xfId="0" applyFont="1"/>
    <xf numFmtId="0" fontId="19" fillId="0" borderId="0" xfId="0" applyFont="1" applyAlignment="1">
      <alignment horizontal="right"/>
    </xf>
    <xf numFmtId="49" fontId="19" fillId="0" borderId="9" xfId="0" applyNumberFormat="1" applyFont="1" applyBorder="1"/>
    <xf numFmtId="169" fontId="19" fillId="0" borderId="9" xfId="0" applyNumberFormat="1" applyFont="1" applyBorder="1" applyAlignment="1">
      <alignment horizontal="right"/>
    </xf>
    <xf numFmtId="49" fontId="20" fillId="0" borderId="9" xfId="0" applyNumberFormat="1" applyFont="1" applyBorder="1"/>
    <xf numFmtId="171" fontId="20" fillId="0" borderId="9" xfId="0" applyNumberFormat="1" applyFont="1" applyBorder="1" applyAlignment="1">
      <alignment horizontal="right"/>
    </xf>
    <xf numFmtId="171" fontId="20" fillId="0" borderId="31" xfId="0" applyNumberFormat="1" applyFont="1" applyBorder="1" applyAlignment="1">
      <alignment horizontal="right"/>
    </xf>
    <xf numFmtId="4" fontId="20" fillId="0" borderId="9" xfId="0" applyNumberFormat="1" applyFont="1" applyBorder="1" applyAlignment="1">
      <alignment horizontal="right"/>
    </xf>
    <xf numFmtId="0" fontId="20" fillId="0" borderId="31" xfId="0" applyFont="1" applyBorder="1"/>
    <xf numFmtId="171" fontId="19" fillId="0" borderId="9" xfId="0" applyNumberFormat="1" applyFont="1" applyBorder="1" applyAlignment="1">
      <alignment horizontal="right"/>
    </xf>
    <xf numFmtId="171" fontId="19" fillId="0" borderId="31" xfId="0" applyNumberFormat="1" applyFont="1" applyBorder="1" applyAlignment="1">
      <alignment horizontal="right"/>
    </xf>
    <xf numFmtId="10" fontId="20" fillId="0" borderId="9" xfId="0" applyNumberFormat="1" applyFont="1" applyBorder="1"/>
    <xf numFmtId="10" fontId="20" fillId="0" borderId="31" xfId="0" applyNumberFormat="1" applyFont="1" applyBorder="1"/>
    <xf numFmtId="4" fontId="20" fillId="0" borderId="9" xfId="0" applyNumberFormat="1" applyFont="1" applyBorder="1"/>
    <xf numFmtId="4" fontId="20" fillId="0" borderId="31" xfId="0" applyNumberFormat="1" applyFont="1" applyBorder="1" applyAlignment="1">
      <alignment horizontal="right"/>
    </xf>
    <xf numFmtId="4" fontId="20" fillId="0" borderId="0" xfId="0" applyNumberFormat="1" applyFont="1" applyAlignment="1">
      <alignment horizontal="right"/>
    </xf>
    <xf numFmtId="171" fontId="20" fillId="0" borderId="9" xfId="0" applyNumberFormat="1" applyFont="1" applyBorder="1"/>
    <xf numFmtId="171" fontId="20" fillId="0" borderId="31" xfId="0" applyNumberFormat="1" applyFont="1" applyBorder="1"/>
    <xf numFmtId="0" fontId="20" fillId="0" borderId="25" xfId="0" applyFont="1" applyBorder="1"/>
    <xf numFmtId="0" fontId="20" fillId="0" borderId="27" xfId="0" applyFont="1" applyBorder="1"/>
    <xf numFmtId="2" fontId="19" fillId="0" borderId="9" xfId="0" applyNumberFormat="1" applyFont="1" applyBorder="1" applyAlignment="1">
      <alignment horizontal="right"/>
    </xf>
    <xf numFmtId="2" fontId="19" fillId="0" borderId="31" xfId="0" applyNumberFormat="1" applyFont="1" applyBorder="1" applyAlignment="1">
      <alignment horizontal="right"/>
    </xf>
    <xf numFmtId="0" fontId="20" fillId="0" borderId="32" xfId="0" applyFont="1" applyBorder="1"/>
    <xf numFmtId="43" fontId="20" fillId="0" borderId="9" xfId="0" applyNumberFormat="1" applyFont="1" applyBorder="1" applyAlignment="1">
      <alignment horizontal="right"/>
    </xf>
    <xf numFmtId="4" fontId="19" fillId="0" borderId="9" xfId="0" applyNumberFormat="1" applyFont="1" applyBorder="1" applyAlignment="1">
      <alignment horizontal="right"/>
    </xf>
    <xf numFmtId="43" fontId="19" fillId="0" borderId="9" xfId="0" applyNumberFormat="1" applyFont="1" applyBorder="1" applyAlignment="1">
      <alignment horizontal="right"/>
    </xf>
    <xf numFmtId="0" fontId="25" fillId="3" borderId="0" xfId="0" applyFont="1" applyFill="1"/>
    <xf numFmtId="4" fontId="25" fillId="3" borderId="0" xfId="0" applyNumberFormat="1" applyFont="1" applyFill="1"/>
    <xf numFmtId="3" fontId="25" fillId="3" borderId="0" xfId="0" applyNumberFormat="1" applyFont="1" applyFill="1"/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10" fontId="2" fillId="0" borderId="0" xfId="0" applyNumberFormat="1" applyFont="1" applyAlignment="1">
      <alignment horizontal="right"/>
    </xf>
    <xf numFmtId="4" fontId="2" fillId="0" borderId="0" xfId="0" applyNumberFormat="1" applyFont="1"/>
    <xf numFmtId="3" fontId="2" fillId="0" borderId="0" xfId="0" applyNumberFormat="1" applyFont="1"/>
    <xf numFmtId="172" fontId="2" fillId="0" borderId="0" xfId="0" applyNumberFormat="1" applyFont="1" applyAlignment="1">
      <alignment horizontal="right"/>
    </xf>
    <xf numFmtId="0" fontId="2" fillId="14" borderId="0" xfId="0" applyFont="1" applyFill="1"/>
    <xf numFmtId="4" fontId="2" fillId="14" borderId="0" xfId="0" applyNumberFormat="1" applyFont="1" applyFill="1"/>
    <xf numFmtId="4" fontId="25" fillId="14" borderId="0" xfId="0" applyNumberFormat="1" applyFont="1" applyFill="1" applyAlignment="1">
      <alignment horizontal="right"/>
    </xf>
    <xf numFmtId="49" fontId="27" fillId="3" borderId="9" xfId="0" applyNumberFormat="1" applyFont="1" applyFill="1" applyBorder="1" applyAlignment="1">
      <alignment horizontal="center"/>
    </xf>
    <xf numFmtId="0" fontId="26" fillId="3" borderId="9" xfId="0" applyFont="1" applyFill="1" applyBorder="1" applyAlignment="1">
      <alignment horizontal="center"/>
    </xf>
    <xf numFmtId="173" fontId="27" fillId="3" borderId="9" xfId="0" applyNumberFormat="1" applyFont="1" applyFill="1" applyBorder="1" applyAlignment="1">
      <alignment horizontal="center"/>
    </xf>
    <xf numFmtId="173" fontId="26" fillId="3" borderId="9" xfId="0" applyNumberFormat="1" applyFont="1" applyFill="1" applyBorder="1" applyAlignment="1">
      <alignment horizontal="center"/>
    </xf>
    <xf numFmtId="49" fontId="28" fillId="0" borderId="9" xfId="0" applyNumberFormat="1" applyFont="1" applyBorder="1"/>
    <xf numFmtId="2" fontId="28" fillId="0" borderId="9" xfId="0" applyNumberFormat="1" applyFont="1" applyBorder="1" applyAlignment="1">
      <alignment horizontal="right"/>
    </xf>
    <xf numFmtId="49" fontId="26" fillId="2" borderId="9" xfId="0" applyNumberFormat="1" applyFont="1" applyFill="1" applyBorder="1" applyAlignment="1">
      <alignment wrapText="1"/>
    </xf>
    <xf numFmtId="2" fontId="26" fillId="0" borderId="9" xfId="0" applyNumberFormat="1" applyFont="1" applyBorder="1" applyAlignment="1">
      <alignment horizontal="right"/>
    </xf>
    <xf numFmtId="0" fontId="2" fillId="0" borderId="9" xfId="0" applyFont="1" applyBorder="1"/>
    <xf numFmtId="2" fontId="2" fillId="0" borderId="9" xfId="0" applyNumberFormat="1" applyFont="1" applyBorder="1"/>
    <xf numFmtId="0" fontId="2" fillId="0" borderId="16" xfId="0" applyFont="1" applyBorder="1"/>
    <xf numFmtId="0" fontId="2" fillId="0" borderId="13" xfId="0" applyFont="1" applyBorder="1"/>
    <xf numFmtId="49" fontId="26" fillId="0" borderId="32" xfId="0" applyNumberFormat="1" applyFont="1" applyBorder="1"/>
    <xf numFmtId="174" fontId="27" fillId="0" borderId="0" xfId="0" applyNumberFormat="1" applyFont="1" applyAlignment="1">
      <alignment horizontal="right"/>
    </xf>
    <xf numFmtId="2" fontId="2" fillId="0" borderId="0" xfId="0" applyNumberFormat="1" applyFont="1"/>
    <xf numFmtId="0" fontId="2" fillId="0" borderId="32" xfId="0" applyFont="1" applyBorder="1"/>
    <xf numFmtId="174" fontId="2" fillId="0" borderId="0" xfId="0" applyNumberFormat="1" applyFont="1"/>
    <xf numFmtId="49" fontId="2" fillId="0" borderId="32" xfId="0" applyNumberFormat="1" applyFont="1" applyBorder="1"/>
    <xf numFmtId="49" fontId="2" fillId="0" borderId="0" xfId="0" applyNumberFormat="1" applyFont="1"/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49" fontId="27" fillId="0" borderId="32" xfId="0" applyNumberFormat="1" applyFont="1" applyBorder="1"/>
    <xf numFmtId="49" fontId="28" fillId="0" borderId="32" xfId="0" applyNumberFormat="1" applyFont="1" applyBorder="1"/>
    <xf numFmtId="49" fontId="2" fillId="0" borderId="36" xfId="0" applyNumberFormat="1" applyFont="1" applyBorder="1"/>
    <xf numFmtId="0" fontId="2" fillId="0" borderId="37" xfId="0" applyFont="1" applyBorder="1"/>
    <xf numFmtId="174" fontId="2" fillId="0" borderId="37" xfId="0" applyNumberFormat="1" applyFont="1" applyBorder="1"/>
    <xf numFmtId="3" fontId="30" fillId="4" borderId="4" xfId="0" applyNumberFormat="1" applyFont="1" applyFill="1" applyBorder="1" applyAlignment="1">
      <alignment horizontal="center"/>
    </xf>
    <xf numFmtId="3" fontId="29" fillId="4" borderId="4" xfId="0" applyNumberFormat="1" applyFont="1" applyFill="1" applyBorder="1" applyAlignment="1">
      <alignment horizontal="center"/>
    </xf>
    <xf numFmtId="3" fontId="30" fillId="4" borderId="5" xfId="0" applyNumberFormat="1" applyFont="1" applyFill="1" applyBorder="1" applyAlignment="1">
      <alignment horizontal="center"/>
    </xf>
    <xf numFmtId="3" fontId="19" fillId="4" borderId="4" xfId="0" applyNumberFormat="1" applyFont="1" applyFill="1" applyBorder="1" applyAlignment="1">
      <alignment horizontal="center"/>
    </xf>
    <xf numFmtId="173" fontId="19" fillId="4" borderId="39" xfId="0" applyNumberFormat="1" applyFont="1" applyFill="1" applyBorder="1"/>
    <xf numFmtId="173" fontId="20" fillId="4" borderId="40" xfId="0" applyNumberFormat="1" applyFont="1" applyFill="1" applyBorder="1"/>
    <xf numFmtId="173" fontId="30" fillId="4" borderId="5" xfId="0" applyNumberFormat="1" applyFont="1" applyFill="1" applyBorder="1" applyAlignment="1">
      <alignment horizontal="right"/>
    </xf>
    <xf numFmtId="173" fontId="19" fillId="4" borderId="41" xfId="0" applyNumberFormat="1" applyFont="1" applyFill="1" applyBorder="1"/>
    <xf numFmtId="49" fontId="29" fillId="0" borderId="42" xfId="0" applyNumberFormat="1" applyFont="1" applyBorder="1" applyAlignment="1">
      <alignment wrapText="1"/>
    </xf>
    <xf numFmtId="0" fontId="20" fillId="0" borderId="43" xfId="0" applyFont="1" applyBorder="1"/>
    <xf numFmtId="171" fontId="29" fillId="0" borderId="5" xfId="0" applyNumberFormat="1" applyFont="1" applyBorder="1" applyAlignment="1">
      <alignment horizontal="right"/>
    </xf>
    <xf numFmtId="4" fontId="30" fillId="0" borderId="5" xfId="0" applyNumberFormat="1" applyFont="1" applyBorder="1" applyAlignment="1">
      <alignment horizontal="right"/>
    </xf>
    <xf numFmtId="49" fontId="30" fillId="0" borderId="42" xfId="0" applyNumberFormat="1" applyFont="1" applyBorder="1" applyAlignment="1">
      <alignment wrapText="1"/>
    </xf>
    <xf numFmtId="171" fontId="30" fillId="0" borderId="5" xfId="0" applyNumberFormat="1" applyFont="1" applyBorder="1" applyAlignment="1">
      <alignment horizontal="right"/>
    </xf>
    <xf numFmtId="0" fontId="20" fillId="0" borderId="42" xfId="0" applyFont="1" applyBorder="1"/>
    <xf numFmtId="0" fontId="20" fillId="0" borderId="5" xfId="0" applyFont="1" applyBorder="1"/>
    <xf numFmtId="4" fontId="20" fillId="0" borderId="5" xfId="0" applyNumberFormat="1" applyFont="1" applyBorder="1"/>
    <xf numFmtId="4" fontId="19" fillId="0" borderId="5" xfId="0" applyNumberFormat="1" applyFont="1" applyBorder="1"/>
    <xf numFmtId="2" fontId="20" fillId="0" borderId="43" xfId="0" applyNumberFormat="1" applyFont="1" applyBorder="1"/>
    <xf numFmtId="2" fontId="29" fillId="0" borderId="5" xfId="0" applyNumberFormat="1" applyFont="1" applyBorder="1" applyAlignment="1">
      <alignment horizontal="right"/>
    </xf>
    <xf numFmtId="2" fontId="30" fillId="0" borderId="5" xfId="0" applyNumberFormat="1" applyFont="1" applyBorder="1" applyAlignment="1">
      <alignment horizontal="right"/>
    </xf>
    <xf numFmtId="2" fontId="20" fillId="0" borderId="42" xfId="0" applyNumberFormat="1" applyFont="1" applyBorder="1"/>
    <xf numFmtId="2" fontId="20" fillId="0" borderId="5" xfId="0" applyNumberFormat="1" applyFont="1" applyBorder="1"/>
    <xf numFmtId="2" fontId="29" fillId="0" borderId="43" xfId="0" applyNumberFormat="1" applyFont="1" applyBorder="1" applyAlignment="1">
      <alignment horizontal="right"/>
    </xf>
    <xf numFmtId="10" fontId="29" fillId="0" borderId="43" xfId="0" applyNumberFormat="1" applyFont="1" applyBorder="1" applyAlignment="1">
      <alignment horizontal="right"/>
    </xf>
    <xf numFmtId="9" fontId="20" fillId="0" borderId="5" xfId="0" applyNumberFormat="1" applyFont="1" applyBorder="1"/>
    <xf numFmtId="0" fontId="31" fillId="0" borderId="0" xfId="0" applyFont="1"/>
    <xf numFmtId="0" fontId="32" fillId="15" borderId="44" xfId="0" applyFont="1" applyFill="1" applyBorder="1" applyAlignment="1">
      <alignment horizontal="center" vertical="top" wrapText="1"/>
    </xf>
    <xf numFmtId="0" fontId="32" fillId="15" borderId="45" xfId="0" applyFont="1" applyFill="1" applyBorder="1" applyAlignment="1">
      <alignment horizontal="center" vertical="top" wrapText="1"/>
    </xf>
    <xf numFmtId="0" fontId="32" fillId="15" borderId="46" xfId="0" applyFont="1" applyFill="1" applyBorder="1" applyAlignment="1">
      <alignment horizontal="center" vertical="top" wrapText="1"/>
    </xf>
    <xf numFmtId="0" fontId="32" fillId="16" borderId="9" xfId="0" applyFont="1" applyFill="1" applyBorder="1" applyAlignment="1">
      <alignment vertical="top" wrapText="1"/>
    </xf>
    <xf numFmtId="0" fontId="32" fillId="15" borderId="47" xfId="0" applyFont="1" applyFill="1" applyBorder="1" applyAlignment="1">
      <alignment horizontal="center" vertical="top" wrapText="1"/>
    </xf>
    <xf numFmtId="0" fontId="32" fillId="15" borderId="48" xfId="0" applyFont="1" applyFill="1" applyBorder="1" applyAlignment="1">
      <alignment horizontal="center" vertical="top" wrapText="1"/>
    </xf>
    <xf numFmtId="0" fontId="32" fillId="15" borderId="49" xfId="0" applyFont="1" applyFill="1" applyBorder="1" applyAlignment="1">
      <alignment horizontal="center" vertical="top" wrapText="1"/>
    </xf>
    <xf numFmtId="0" fontId="33" fillId="0" borderId="9" xfId="0" applyFont="1" applyBorder="1" applyAlignment="1">
      <alignment vertical="top" wrapText="1"/>
    </xf>
    <xf numFmtId="2" fontId="33" fillId="0" borderId="9" xfId="0" applyNumberFormat="1" applyFont="1" applyBorder="1" applyAlignment="1">
      <alignment horizontal="center" vertical="top"/>
    </xf>
    <xf numFmtId="0" fontId="32" fillId="0" borderId="9" xfId="0" applyFont="1" applyBorder="1" applyAlignment="1">
      <alignment vertical="top" wrapText="1"/>
    </xf>
    <xf numFmtId="2" fontId="32" fillId="0" borderId="9" xfId="0" applyNumberFormat="1" applyFont="1" applyBorder="1" applyAlignment="1">
      <alignment horizontal="center" vertical="top"/>
    </xf>
    <xf numFmtId="2" fontId="33" fillId="0" borderId="9" xfId="0" applyNumberFormat="1" applyFont="1" applyBorder="1"/>
    <xf numFmtId="2" fontId="32" fillId="16" borderId="9" xfId="0" applyNumberFormat="1" applyFont="1" applyFill="1" applyBorder="1" applyAlignment="1">
      <alignment horizontal="center" vertical="top"/>
    </xf>
    <xf numFmtId="0" fontId="33" fillId="0" borderId="9" xfId="0" applyFont="1" applyBorder="1"/>
    <xf numFmtId="0" fontId="33" fillId="16" borderId="9" xfId="0" applyFont="1" applyFill="1" applyBorder="1"/>
    <xf numFmtId="0" fontId="33" fillId="0" borderId="9" xfId="0" applyFont="1" applyBorder="1" applyAlignment="1">
      <alignment horizontal="center" vertical="top"/>
    </xf>
    <xf numFmtId="4" fontId="33" fillId="0" borderId="9" xfId="0" applyNumberFormat="1" applyFont="1" applyBorder="1" applyAlignment="1">
      <alignment horizontal="center" vertical="top"/>
    </xf>
    <xf numFmtId="4" fontId="32" fillId="16" borderId="9" xfId="0" applyNumberFormat="1" applyFont="1" applyFill="1" applyBorder="1" applyAlignment="1">
      <alignment horizontal="center" vertical="top"/>
    </xf>
    <xf numFmtId="0" fontId="31" fillId="0" borderId="9" xfId="0" applyFont="1" applyBorder="1" applyAlignment="1">
      <alignment vertical="top" wrapText="1"/>
    </xf>
    <xf numFmtId="9" fontId="31" fillId="0" borderId="9" xfId="0" applyNumberFormat="1" applyFont="1" applyBorder="1" applyAlignment="1">
      <alignment horizontal="center" vertical="top"/>
    </xf>
    <xf numFmtId="0" fontId="32" fillId="0" borderId="9" xfId="0" applyFont="1" applyBorder="1" applyAlignment="1">
      <alignment horizontal="center" vertical="top"/>
    </xf>
    <xf numFmtId="2" fontId="34" fillId="16" borderId="9" xfId="0" applyNumberFormat="1" applyFont="1" applyFill="1" applyBorder="1" applyAlignment="1">
      <alignment horizontal="center" vertical="top"/>
    </xf>
    <xf numFmtId="4" fontId="35" fillId="0" borderId="9" xfId="0" applyNumberFormat="1" applyFont="1" applyBorder="1" applyAlignment="1">
      <alignment horizontal="center" vertical="top"/>
    </xf>
    <xf numFmtId="0" fontId="35" fillId="0" borderId="9" xfId="0" applyFont="1" applyBorder="1"/>
    <xf numFmtId="2" fontId="34" fillId="16" borderId="9" xfId="0" applyNumberFormat="1" applyFont="1" applyFill="1" applyBorder="1" applyAlignment="1">
      <alignment horizontal="center" vertical="top" wrapText="1"/>
    </xf>
    <xf numFmtId="0" fontId="33" fillId="0" borderId="0" xfId="0" applyFont="1"/>
    <xf numFmtId="0" fontId="33" fillId="0" borderId="9" xfId="0" applyFont="1" applyBorder="1" applyAlignment="1">
      <alignment horizontal="right" vertical="top"/>
    </xf>
    <xf numFmtId="0" fontId="37" fillId="3" borderId="9" xfId="0" applyFont="1" applyFill="1" applyBorder="1" applyAlignment="1">
      <alignment vertical="top"/>
    </xf>
    <xf numFmtId="4" fontId="36" fillId="3" borderId="9" xfId="0" applyNumberFormat="1" applyFont="1" applyFill="1" applyBorder="1" applyAlignment="1">
      <alignment horizontal="center" vertical="top" wrapText="1"/>
    </xf>
    <xf numFmtId="4" fontId="37" fillId="3" borderId="9" xfId="0" applyNumberFormat="1" applyFont="1" applyFill="1" applyBorder="1" applyAlignment="1">
      <alignment horizontal="center" vertical="top" wrapText="1"/>
    </xf>
    <xf numFmtId="0" fontId="36" fillId="0" borderId="9" xfId="0" applyFont="1" applyBorder="1" applyAlignment="1">
      <alignment vertical="top" wrapText="1"/>
    </xf>
    <xf numFmtId="4" fontId="37" fillId="0" borderId="9" xfId="0" applyNumberFormat="1" applyFont="1" applyBorder="1"/>
    <xf numFmtId="0" fontId="37" fillId="0" borderId="9" xfId="0" applyFont="1" applyBorder="1" applyAlignment="1">
      <alignment vertical="top" wrapText="1"/>
    </xf>
    <xf numFmtId="4" fontId="37" fillId="0" borderId="9" xfId="0" applyNumberFormat="1" applyFont="1" applyBorder="1" applyAlignment="1">
      <alignment horizontal="right" vertical="top" wrapText="1"/>
    </xf>
    <xf numFmtId="4" fontId="37" fillId="0" borderId="9" xfId="0" applyNumberFormat="1" applyFont="1" applyBorder="1" applyAlignment="1">
      <alignment horizontal="right" vertical="top"/>
    </xf>
    <xf numFmtId="4" fontId="36" fillId="0" borderId="9" xfId="0" applyNumberFormat="1" applyFont="1" applyBorder="1" applyAlignment="1">
      <alignment horizontal="right" vertical="top" wrapText="1"/>
    </xf>
    <xf numFmtId="0" fontId="36" fillId="0" borderId="9" xfId="0" applyFont="1" applyBorder="1" applyAlignment="1">
      <alignment wrapText="1"/>
    </xf>
    <xf numFmtId="0" fontId="38" fillId="17" borderId="9" xfId="0" applyFont="1" applyFill="1" applyBorder="1"/>
    <xf numFmtId="0" fontId="38" fillId="17" borderId="31" xfId="0" applyFont="1" applyFill="1" applyBorder="1"/>
    <xf numFmtId="0" fontId="38" fillId="17" borderId="31" xfId="0" applyFont="1" applyFill="1" applyBorder="1" applyAlignment="1">
      <alignment horizontal="center"/>
    </xf>
    <xf numFmtId="0" fontId="38" fillId="17" borderId="31" xfId="0" applyFont="1" applyFill="1" applyBorder="1" applyAlignment="1">
      <alignment horizontal="center" vertical="top"/>
    </xf>
    <xf numFmtId="0" fontId="39" fillId="0" borderId="0" xfId="0" applyFont="1"/>
    <xf numFmtId="0" fontId="40" fillId="0" borderId="35" xfId="0" applyFont="1" applyBorder="1"/>
    <xf numFmtId="0" fontId="41" fillId="0" borderId="51" xfId="0" applyFont="1" applyBorder="1"/>
    <xf numFmtId="0" fontId="40" fillId="0" borderId="51" xfId="0" applyFont="1" applyBorder="1" applyAlignment="1">
      <alignment horizontal="center"/>
    </xf>
    <xf numFmtId="0" fontId="41" fillId="0" borderId="35" xfId="0" applyFont="1" applyBorder="1"/>
    <xf numFmtId="0" fontId="40" fillId="0" borderId="51" xfId="0" applyFont="1" applyBorder="1"/>
    <xf numFmtId="9" fontId="40" fillId="0" borderId="51" xfId="0" applyNumberFormat="1" applyFont="1" applyBorder="1" applyAlignment="1">
      <alignment horizontal="center"/>
    </xf>
    <xf numFmtId="0" fontId="39" fillId="0" borderId="0" xfId="0" applyFont="1" applyAlignment="1">
      <alignment horizontal="center"/>
    </xf>
    <xf numFmtId="0" fontId="42" fillId="0" borderId="0" xfId="0" applyFont="1" applyAlignment="1">
      <alignment horizontal="left"/>
    </xf>
    <xf numFmtId="0" fontId="43" fillId="0" borderId="0" xfId="0" applyFont="1" applyAlignment="1">
      <alignment horizontal="center"/>
    </xf>
    <xf numFmtId="0" fontId="44" fillId="0" borderId="0" xfId="0" applyFont="1"/>
    <xf numFmtId="175" fontId="38" fillId="0" borderId="9" xfId="0" applyNumberFormat="1" applyFont="1" applyBorder="1" applyAlignment="1">
      <alignment horizontal="center" wrapText="1"/>
    </xf>
    <xf numFmtId="0" fontId="38" fillId="0" borderId="9" xfId="0" applyFont="1" applyBorder="1" applyAlignment="1">
      <alignment horizontal="center" wrapText="1"/>
    </xf>
    <xf numFmtId="0" fontId="45" fillId="0" borderId="9" xfId="0" applyFont="1" applyBorder="1" applyAlignment="1">
      <alignment horizontal="center" wrapText="1"/>
    </xf>
    <xf numFmtId="0" fontId="44" fillId="0" borderId="0" xfId="0" applyFont="1" applyAlignment="1">
      <alignment horizontal="center"/>
    </xf>
    <xf numFmtId="0" fontId="45" fillId="0" borderId="0" xfId="0" applyFont="1" applyAlignment="1">
      <alignment horizontal="left"/>
    </xf>
    <xf numFmtId="0" fontId="45" fillId="17" borderId="9" xfId="0" applyFont="1" applyFill="1" applyBorder="1" applyAlignment="1">
      <alignment horizontal="center" wrapText="1"/>
    </xf>
    <xf numFmtId="4" fontId="45" fillId="0" borderId="9" xfId="0" applyNumberFormat="1" applyFont="1" applyBorder="1" applyAlignment="1">
      <alignment horizontal="center" wrapText="1"/>
    </xf>
    <xf numFmtId="0" fontId="44" fillId="0" borderId="9" xfId="0" applyFont="1" applyBorder="1" applyAlignment="1">
      <alignment horizontal="center" wrapText="1"/>
    </xf>
    <xf numFmtId="4" fontId="38" fillId="0" borderId="9" xfId="0" applyNumberFormat="1" applyFont="1" applyBorder="1" applyAlignment="1">
      <alignment horizontal="center" wrapText="1"/>
    </xf>
    <xf numFmtId="0" fontId="45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38" fillId="18" borderId="9" xfId="0" applyFont="1" applyFill="1" applyBorder="1" applyAlignment="1">
      <alignment horizontal="center" wrapText="1"/>
    </xf>
    <xf numFmtId="0" fontId="46" fillId="0" borderId="9" xfId="0" applyFont="1" applyBorder="1" applyAlignment="1">
      <alignment horizontal="left" wrapText="1"/>
    </xf>
    <xf numFmtId="0" fontId="46" fillId="0" borderId="9" xfId="0" applyFont="1" applyBorder="1" applyAlignment="1">
      <alignment horizontal="right" wrapText="1"/>
    </xf>
    <xf numFmtId="0" fontId="46" fillId="0" borderId="9" xfId="0" applyFont="1" applyBorder="1" applyAlignment="1">
      <alignment horizontal="center" wrapText="1"/>
    </xf>
    <xf numFmtId="0" fontId="47" fillId="0" borderId="9" xfId="0" applyFont="1" applyBorder="1" applyAlignment="1">
      <alignment horizontal="left" vertical="top" wrapText="1"/>
    </xf>
    <xf numFmtId="0" fontId="48" fillId="0" borderId="9" xfId="0" applyFont="1" applyBorder="1" applyAlignment="1">
      <alignment horizontal="left" wrapText="1"/>
    </xf>
    <xf numFmtId="3" fontId="48" fillId="0" borderId="9" xfId="0" applyNumberFormat="1" applyFont="1" applyBorder="1" applyAlignment="1">
      <alignment horizontal="right" wrapText="1"/>
    </xf>
    <xf numFmtId="10" fontId="48" fillId="0" borderId="9" xfId="0" applyNumberFormat="1" applyFont="1" applyBorder="1" applyAlignment="1">
      <alignment horizontal="right" wrapText="1"/>
    </xf>
    <xf numFmtId="4" fontId="49" fillId="0" borderId="9" xfId="0" applyNumberFormat="1" applyFont="1" applyBorder="1" applyAlignment="1">
      <alignment horizontal="right" wrapText="1"/>
    </xf>
    <xf numFmtId="3" fontId="46" fillId="0" borderId="9" xfId="0" applyNumberFormat="1" applyFont="1" applyBorder="1" applyAlignment="1">
      <alignment horizontal="right" wrapText="1"/>
    </xf>
    <xf numFmtId="176" fontId="9" fillId="2" borderId="5" xfId="1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49" fontId="6" fillId="2" borderId="1" xfId="0" applyNumberFormat="1" applyFont="1" applyFill="1" applyBorder="1" applyAlignment="1">
      <alignment horizontal="center" vertical="center"/>
    </xf>
    <xf numFmtId="49" fontId="7" fillId="4" borderId="6" xfId="0" applyNumberFormat="1" applyFont="1" applyFill="1" applyBorder="1" applyAlignment="1">
      <alignment vertical="center"/>
    </xf>
    <xf numFmtId="0" fontId="5" fillId="0" borderId="7" xfId="0" applyFont="1" applyBorder="1"/>
    <xf numFmtId="0" fontId="5" fillId="0" borderId="8" xfId="0" applyFont="1" applyBorder="1"/>
    <xf numFmtId="49" fontId="7" fillId="5" borderId="6" xfId="0" applyNumberFormat="1" applyFont="1" applyFill="1" applyBorder="1" applyAlignment="1">
      <alignment vertical="center"/>
    </xf>
    <xf numFmtId="0" fontId="19" fillId="0" borderId="0" xfId="0" applyFont="1" applyAlignment="1">
      <alignment horizontal="center"/>
    </xf>
    <xf numFmtId="0" fontId="0" fillId="0" borderId="0" xfId="0"/>
    <xf numFmtId="49" fontId="26" fillId="4" borderId="22" xfId="0" applyNumberFormat="1" applyFont="1" applyFill="1" applyBorder="1" applyAlignment="1">
      <alignment horizontal="center"/>
    </xf>
    <xf numFmtId="0" fontId="5" fillId="0" borderId="33" xfId="0" applyFont="1" applyBorder="1"/>
    <xf numFmtId="49" fontId="26" fillId="3" borderId="34" xfId="0" applyNumberFormat="1" applyFont="1" applyFill="1" applyBorder="1" applyAlignment="1">
      <alignment horizontal="center"/>
    </xf>
    <xf numFmtId="0" fontId="5" fillId="0" borderId="35" xfId="0" applyFont="1" applyBorder="1"/>
    <xf numFmtId="49" fontId="29" fillId="3" borderId="1" xfId="0" applyNumberFormat="1" applyFont="1" applyFill="1" applyBorder="1" applyAlignment="1">
      <alignment horizontal="center"/>
    </xf>
    <xf numFmtId="0" fontId="5" fillId="0" borderId="38" xfId="0" applyFont="1" applyBorder="1"/>
    <xf numFmtId="0" fontId="36" fillId="0" borderId="27" xfId="0" applyFont="1" applyBorder="1" applyAlignment="1">
      <alignment vertical="top" wrapText="1"/>
    </xf>
    <xf numFmtId="0" fontId="5" fillId="0" borderId="50" xfId="0" applyFont="1" applyBorder="1"/>
    <xf numFmtId="0" fontId="38" fillId="0" borderId="34" xfId="0" applyFont="1" applyBorder="1" applyAlignment="1">
      <alignment horizontal="center" wrapText="1"/>
    </xf>
    <xf numFmtId="0" fontId="38" fillId="0" borderId="27" xfId="0" applyFont="1" applyBorder="1" applyAlignment="1">
      <alignment horizontal="center" wrapText="1"/>
    </xf>
    <xf numFmtId="0" fontId="5" fillId="0" borderId="31" xfId="0" applyFont="1" applyBorder="1"/>
    <xf numFmtId="0" fontId="46" fillId="0" borderId="34" xfId="0" applyFont="1" applyBorder="1" applyAlignment="1">
      <alignment horizontal="left" wrapText="1"/>
    </xf>
    <xf numFmtId="0" fontId="46" fillId="0" borderId="27" xfId="0" applyFont="1" applyBorder="1" applyAlignment="1">
      <alignment horizontal="left" wrapText="1"/>
    </xf>
    <xf numFmtId="0" fontId="0" fillId="19" borderId="0" xfId="0" applyFill="1"/>
    <xf numFmtId="0" fontId="0" fillId="0" borderId="0" xfId="0" applyFill="1"/>
    <xf numFmtId="0" fontId="0" fillId="0" borderId="0" xfId="0" applyFill="1" applyAlignment="1"/>
    <xf numFmtId="0" fontId="0" fillId="0" borderId="18" xfId="0" applyBorder="1" applyAlignment="1">
      <alignment horizontal="right" vertical="center"/>
    </xf>
    <xf numFmtId="0" fontId="17" fillId="2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Z1003"/>
  <sheetViews>
    <sheetView showGridLines="0" zoomScale="70" zoomScaleNormal="70" workbookViewId="0">
      <selection activeCell="F8" sqref="F8"/>
    </sheetView>
  </sheetViews>
  <sheetFormatPr defaultColWidth="11.25" defaultRowHeight="15" customHeight="1"/>
  <sheetData>
    <row r="1" spans="1:26" ht="1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" customHeight="1">
      <c r="A3" s="1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" customHeight="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" customHeight="1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" customHeight="1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" customHeight="1">
      <c r="A8" s="3" t="s">
        <v>3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5.7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5.75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15.75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</sheetData>
  <printOptions horizontalCentered="1" gridLines="1"/>
  <pageMargins left="0.7" right="0.7" top="0.75" bottom="0.75" header="0" footer="0"/>
  <pageSetup fitToHeight="0" pageOrder="overThenDown" orientation="landscape" cellComments="atEnd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Q25"/>
  <sheetViews>
    <sheetView workbookViewId="0">
      <selection activeCell="F19" sqref="F19"/>
    </sheetView>
  </sheetViews>
  <sheetFormatPr defaultColWidth="11.25" defaultRowHeight="15" customHeight="1"/>
  <cols>
    <col min="1" max="1" width="24.25" bestFit="1" customWidth="1"/>
    <col min="2" max="16" width="9.875" bestFit="1" customWidth="1"/>
    <col min="17" max="17" width="5.625" bestFit="1" customWidth="1"/>
  </cols>
  <sheetData>
    <row r="1" spans="1:17">
      <c r="A1" s="326" t="s">
        <v>203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</row>
    <row r="2" spans="1:17">
      <c r="A2" s="189" t="s">
        <v>204</v>
      </c>
      <c r="B2" s="190">
        <v>1</v>
      </c>
      <c r="C2" s="190">
        <f t="shared" ref="C2:P2" si="0">B2+1</f>
        <v>2</v>
      </c>
      <c r="D2" s="190">
        <f t="shared" si="0"/>
        <v>3</v>
      </c>
      <c r="E2" s="190">
        <f t="shared" si="0"/>
        <v>4</v>
      </c>
      <c r="F2" s="190">
        <f t="shared" si="0"/>
        <v>5</v>
      </c>
      <c r="G2" s="190">
        <f t="shared" si="0"/>
        <v>6</v>
      </c>
      <c r="H2" s="190">
        <f t="shared" si="0"/>
        <v>7</v>
      </c>
      <c r="I2" s="190">
        <f t="shared" si="0"/>
        <v>8</v>
      </c>
      <c r="J2" s="190">
        <f t="shared" si="0"/>
        <v>9</v>
      </c>
      <c r="K2" s="190">
        <f t="shared" si="0"/>
        <v>10</v>
      </c>
      <c r="L2" s="190">
        <f t="shared" si="0"/>
        <v>11</v>
      </c>
      <c r="M2" s="190">
        <f t="shared" si="0"/>
        <v>12</v>
      </c>
      <c r="N2" s="190">
        <f t="shared" si="0"/>
        <v>13</v>
      </c>
      <c r="O2" s="190">
        <f t="shared" si="0"/>
        <v>14</v>
      </c>
      <c r="P2" s="190">
        <f t="shared" si="0"/>
        <v>15</v>
      </c>
      <c r="Q2" s="328" t="s">
        <v>64</v>
      </c>
    </row>
    <row r="3" spans="1:17">
      <c r="A3" s="191" t="s">
        <v>205</v>
      </c>
      <c r="B3" s="192">
        <f>'P&amp;L Proj'!C2</f>
        <v>46112</v>
      </c>
      <c r="C3" s="192">
        <f>'P&amp;L Proj'!D2</f>
        <v>46477</v>
      </c>
      <c r="D3" s="192">
        <f>'P&amp;L Proj'!E2</f>
        <v>46843</v>
      </c>
      <c r="E3" s="192">
        <f>'P&amp;L Proj'!F2</f>
        <v>47208</v>
      </c>
      <c r="F3" s="192">
        <f>'P&amp;L Proj'!G2</f>
        <v>47573</v>
      </c>
      <c r="G3" s="192">
        <f>'P&amp;L Proj'!H2</f>
        <v>47938</v>
      </c>
      <c r="H3" s="192">
        <f>'P&amp;L Proj'!I2</f>
        <v>48304</v>
      </c>
      <c r="I3" s="192">
        <f>'P&amp;L Proj'!J2</f>
        <v>48669</v>
      </c>
      <c r="J3" s="192">
        <f>'P&amp;L Proj'!K2</f>
        <v>49034</v>
      </c>
      <c r="K3" s="192">
        <f>'P&amp;L Proj'!L2</f>
        <v>49399</v>
      </c>
      <c r="L3" s="192">
        <f>'P&amp;L Proj'!M2</f>
        <v>49765</v>
      </c>
      <c r="M3" s="192">
        <f>'P&amp;L Proj'!N2</f>
        <v>50130</v>
      </c>
      <c r="N3" s="192">
        <f>'P&amp;L Proj'!O2</f>
        <v>50495</v>
      </c>
      <c r="O3" s="192">
        <f>'P&amp;L Proj'!P2</f>
        <v>50860</v>
      </c>
      <c r="P3" s="192">
        <f>'P&amp;L Proj'!Q2</f>
        <v>51226</v>
      </c>
      <c r="Q3" s="329"/>
    </row>
    <row r="4" spans="1:17">
      <c r="A4" s="193" t="s">
        <v>206</v>
      </c>
      <c r="B4" s="194">
        <f>'P&amp;L Proj'!C38</f>
        <v>3.2045637701659575</v>
      </c>
      <c r="C4" s="194">
        <f>'P&amp;L Proj'!D38</f>
        <v>3.364007804317048</v>
      </c>
      <c r="D4" s="194">
        <f>'P&amp;L Proj'!E38</f>
        <v>3.5817518027774002</v>
      </c>
      <c r="E4" s="194">
        <f>'P&amp;L Proj'!F38</f>
        <v>3.7995746899791771</v>
      </c>
      <c r="F4" s="194">
        <f>'P&amp;L Proj'!G38</f>
        <v>4.0174237043160268</v>
      </c>
      <c r="G4" s="194">
        <f>'P&amp;L Proj'!H38</f>
        <v>4.2352450526160776</v>
      </c>
      <c r="H4" s="194">
        <f>'P&amp;L Proj'!I38</f>
        <v>4.4529838736821663</v>
      </c>
      <c r="I4" s="194">
        <f>'P&amp;L Proj'!J38</f>
        <v>4.6705842007933818</v>
      </c>
      <c r="J4" s="194">
        <f>'P&amp;L Proj'!K38</f>
        <v>4.8879889231362217</v>
      </c>
      <c r="K4" s="194">
        <f>'P&amp;L Proj'!L38</f>
        <v>5.105139746132723</v>
      </c>
      <c r="L4" s="194">
        <f>'P&amp;L Proj'!M38</f>
        <v>5.3219771506319393</v>
      </c>
      <c r="M4" s="194">
        <f>'P&amp;L Proj'!N38</f>
        <v>5.5384403509300988</v>
      </c>
      <c r="N4" s="194">
        <f>'P&amp;L Proj'!O38</f>
        <v>5.7544672515837973</v>
      </c>
      <c r="O4" s="194">
        <f>'P&amp;L Proj'!P38</f>
        <v>5.9699944029795162</v>
      </c>
      <c r="P4" s="194">
        <f>'P&amp;L Proj'!Q38</f>
        <v>6.1849569556215656</v>
      </c>
      <c r="Q4" s="194">
        <f t="shared" ref="Q4:Q6" si="1">SUM(B4:P4)</f>
        <v>70.089099679663093</v>
      </c>
    </row>
    <row r="5" spans="1:17">
      <c r="A5" s="193" t="s">
        <v>162</v>
      </c>
      <c r="B5" s="194">
        <f>'P&amp;L Proj'!C32</f>
        <v>3.5729367732813437</v>
      </c>
      <c r="C5" s="194">
        <f>'P&amp;L Proj'!D32</f>
        <v>3.5729367732813437</v>
      </c>
      <c r="D5" s="194">
        <f>'P&amp;L Proj'!E32</f>
        <v>3.5729367732813437</v>
      </c>
      <c r="E5" s="194">
        <f>'P&amp;L Proj'!F32</f>
        <v>3.5729367732813437</v>
      </c>
      <c r="F5" s="194">
        <f>'P&amp;L Proj'!G32</f>
        <v>3.5729367732813437</v>
      </c>
      <c r="G5" s="194">
        <f>'P&amp;L Proj'!H32</f>
        <v>3.5729367732813437</v>
      </c>
      <c r="H5" s="194">
        <f>'P&amp;L Proj'!I32</f>
        <v>3.5729367732813437</v>
      </c>
      <c r="I5" s="194">
        <f>'P&amp;L Proj'!J32</f>
        <v>3.5729367732813437</v>
      </c>
      <c r="J5" s="194">
        <f>'P&amp;L Proj'!K32</f>
        <v>3.5729367732813437</v>
      </c>
      <c r="K5" s="194">
        <f>'P&amp;L Proj'!L32</f>
        <v>3.5729367732813437</v>
      </c>
      <c r="L5" s="194">
        <f>'P&amp;L Proj'!M32</f>
        <v>3.5729367732813437</v>
      </c>
      <c r="M5" s="194">
        <f>'P&amp;L Proj'!N32</f>
        <v>3.5729367732813437</v>
      </c>
      <c r="N5" s="194">
        <f>'P&amp;L Proj'!O32</f>
        <v>3.5729367732813437</v>
      </c>
      <c r="O5" s="194">
        <f>'P&amp;L Proj'!P32</f>
        <v>3.5729367732813437</v>
      </c>
      <c r="P5" s="194">
        <f>'P&amp;L Proj'!Q32</f>
        <v>3.5729367732813437</v>
      </c>
      <c r="Q5" s="194">
        <f t="shared" si="1"/>
        <v>53.594051599220144</v>
      </c>
    </row>
    <row r="6" spans="1:17">
      <c r="A6" s="193" t="s">
        <v>207</v>
      </c>
      <c r="B6" s="194">
        <f>'P&amp;L Proj'!C31</f>
        <v>5.7421418945527005</v>
      </c>
      <c r="C6" s="194">
        <f>'P&amp;L Proj'!D31</f>
        <v>5.4014359355416106</v>
      </c>
      <c r="D6" s="194">
        <f>'P&amp;L Proj'!E31</f>
        <v>5.0025606664554569</v>
      </c>
      <c r="E6" s="194">
        <f>'P&amp;L Proj'!F31</f>
        <v>4.6036853973693042</v>
      </c>
      <c r="F6" s="194">
        <f>'P&amp;L Proj'!G31</f>
        <v>4.2048101282831496</v>
      </c>
      <c r="G6" s="194">
        <f>'P&amp;L Proj'!H31</f>
        <v>3.8059348591969955</v>
      </c>
      <c r="H6" s="194">
        <f>'P&amp;L Proj'!I31</f>
        <v>3.4070595901108431</v>
      </c>
      <c r="I6" s="194">
        <f>'P&amp;L Proj'!J31</f>
        <v>3.008184321024689</v>
      </c>
      <c r="J6" s="194">
        <f>'P&amp;L Proj'!K31</f>
        <v>2.6093090519385385</v>
      </c>
      <c r="K6" s="194">
        <f>'P&amp;L Proj'!L31</f>
        <v>2.2104337828523888</v>
      </c>
      <c r="L6" s="194">
        <f>'P&amp;L Proj'!M31</f>
        <v>1.8115585137662391</v>
      </c>
      <c r="M6" s="194">
        <f>'P&amp;L Proj'!N31</f>
        <v>1.4126832446800894</v>
      </c>
      <c r="N6" s="194">
        <f>'P&amp;L Proj'!O31</f>
        <v>1.0138079755939398</v>
      </c>
      <c r="O6" s="194">
        <f>'P&amp;L Proj'!P31</f>
        <v>0.61493270650778997</v>
      </c>
      <c r="P6" s="194">
        <f>'P&amp;L Proj'!Q31</f>
        <v>0.2160574374216401</v>
      </c>
      <c r="Q6" s="194">
        <f t="shared" si="1"/>
        <v>45.064595505295365</v>
      </c>
    </row>
    <row r="7" spans="1:17">
      <c r="A7" s="195" t="s">
        <v>208</v>
      </c>
      <c r="B7" s="196">
        <f t="shared" ref="B7:Q7" si="2">SUM(B4:B6)</f>
        <v>12.519642438000002</v>
      </c>
      <c r="C7" s="196">
        <f t="shared" si="2"/>
        <v>12.338380513140002</v>
      </c>
      <c r="D7" s="196">
        <f t="shared" si="2"/>
        <v>12.157249242514201</v>
      </c>
      <c r="E7" s="196">
        <f t="shared" si="2"/>
        <v>11.976196860629825</v>
      </c>
      <c r="F7" s="196">
        <f t="shared" si="2"/>
        <v>11.79517060588052</v>
      </c>
      <c r="G7" s="196">
        <f t="shared" si="2"/>
        <v>11.614116685094416</v>
      </c>
      <c r="H7" s="196">
        <f t="shared" si="2"/>
        <v>11.432980237074354</v>
      </c>
      <c r="I7" s="196">
        <f t="shared" si="2"/>
        <v>11.251705295099415</v>
      </c>
      <c r="J7" s="196">
        <f t="shared" si="2"/>
        <v>11.070234748356103</v>
      </c>
      <c r="K7" s="196">
        <f t="shared" si="2"/>
        <v>10.888510302266456</v>
      </c>
      <c r="L7" s="196">
        <f t="shared" si="2"/>
        <v>10.706472437679523</v>
      </c>
      <c r="M7" s="196">
        <f t="shared" si="2"/>
        <v>10.524060368891531</v>
      </c>
      <c r="N7" s="196">
        <f t="shared" si="2"/>
        <v>10.34121200045908</v>
      </c>
      <c r="O7" s="196">
        <f t="shared" si="2"/>
        <v>10.15786388276865</v>
      </c>
      <c r="P7" s="196">
        <f t="shared" si="2"/>
        <v>9.9739511663245484</v>
      </c>
      <c r="Q7" s="196">
        <f t="shared" si="2"/>
        <v>168.74774678417859</v>
      </c>
    </row>
    <row r="8" spans="1:17">
      <c r="A8" s="197"/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</row>
    <row r="9" spans="1:17">
      <c r="A9" s="193" t="s">
        <v>207</v>
      </c>
      <c r="B9" s="194">
        <f t="shared" ref="B9:P9" si="3">B6</f>
        <v>5.7421418945527005</v>
      </c>
      <c r="C9" s="194">
        <f t="shared" si="3"/>
        <v>5.4014359355416106</v>
      </c>
      <c r="D9" s="194">
        <f t="shared" si="3"/>
        <v>5.0025606664554569</v>
      </c>
      <c r="E9" s="194">
        <f t="shared" si="3"/>
        <v>4.6036853973693042</v>
      </c>
      <c r="F9" s="194">
        <f t="shared" si="3"/>
        <v>4.2048101282831496</v>
      </c>
      <c r="G9" s="194">
        <f t="shared" si="3"/>
        <v>3.8059348591969955</v>
      </c>
      <c r="H9" s="194">
        <f t="shared" si="3"/>
        <v>3.4070595901108431</v>
      </c>
      <c r="I9" s="194">
        <f t="shared" si="3"/>
        <v>3.008184321024689</v>
      </c>
      <c r="J9" s="194">
        <f t="shared" si="3"/>
        <v>2.6093090519385385</v>
      </c>
      <c r="K9" s="194">
        <f t="shared" si="3"/>
        <v>2.2104337828523888</v>
      </c>
      <c r="L9" s="194">
        <f t="shared" si="3"/>
        <v>1.8115585137662391</v>
      </c>
      <c r="M9" s="194">
        <f t="shared" si="3"/>
        <v>1.4126832446800894</v>
      </c>
      <c r="N9" s="194">
        <f t="shared" si="3"/>
        <v>1.0138079755939398</v>
      </c>
      <c r="O9" s="194">
        <f t="shared" si="3"/>
        <v>0.61493270650778997</v>
      </c>
      <c r="P9" s="194">
        <f t="shared" si="3"/>
        <v>0.2160574374216401</v>
      </c>
      <c r="Q9" s="194">
        <f t="shared" ref="Q9:Q10" si="4">SUM(B9:P9)</f>
        <v>45.064595505295365</v>
      </c>
    </row>
    <row r="10" spans="1:17">
      <c r="A10" s="193" t="s">
        <v>209</v>
      </c>
      <c r="B10" s="194">
        <f>'P&amp;L Proj'!C43</f>
        <v>2.1560825356008109</v>
      </c>
      <c r="C10" s="194">
        <f>'P&amp;L Proj'!D43</f>
        <v>4.3121650712016208</v>
      </c>
      <c r="D10" s="194">
        <f>'P&amp;L Proj'!E43</f>
        <v>4.3121650712016208</v>
      </c>
      <c r="E10" s="194">
        <f>'P&amp;L Proj'!F43</f>
        <v>4.3121650712016208</v>
      </c>
      <c r="F10" s="194">
        <f>'P&amp;L Proj'!G43</f>
        <v>4.3121650712016208</v>
      </c>
      <c r="G10" s="194">
        <f>'P&amp;L Proj'!H43</f>
        <v>4.3121650712016208</v>
      </c>
      <c r="H10" s="194">
        <f>'P&amp;L Proj'!I43</f>
        <v>4.3121650712016208</v>
      </c>
      <c r="I10" s="194">
        <f>'P&amp;L Proj'!J43</f>
        <v>4.3121650712016208</v>
      </c>
      <c r="J10" s="194">
        <f>'P&amp;L Proj'!K43</f>
        <v>4.3121650712016208</v>
      </c>
      <c r="K10" s="194">
        <f>'P&amp;L Proj'!L43</f>
        <v>4.3121650712016208</v>
      </c>
      <c r="L10" s="194">
        <f>'P&amp;L Proj'!M43</f>
        <v>4.3121650712016208</v>
      </c>
      <c r="M10" s="194">
        <f>'P&amp;L Proj'!N43</f>
        <v>4.3121650712016208</v>
      </c>
      <c r="N10" s="194">
        <f>'P&amp;L Proj'!O43</f>
        <v>4.3121650712016208</v>
      </c>
      <c r="O10" s="194">
        <f>'P&amp;L Proj'!P43</f>
        <v>4.3121650712016208</v>
      </c>
      <c r="P10" s="194">
        <f>'P&amp;L Proj'!Q43</f>
        <v>4.3121650712016208</v>
      </c>
      <c r="Q10" s="194">
        <f t="shared" si="4"/>
        <v>62.526393532423484</v>
      </c>
    </row>
    <row r="11" spans="1:17">
      <c r="A11" s="195" t="s">
        <v>210</v>
      </c>
      <c r="B11" s="196">
        <f t="shared" ref="B11:Q11" si="5">SUM(B9:B10)</f>
        <v>7.8982244301535118</v>
      </c>
      <c r="C11" s="196">
        <f t="shared" si="5"/>
        <v>9.7136010067432323</v>
      </c>
      <c r="D11" s="196">
        <f t="shared" si="5"/>
        <v>9.3147257376570778</v>
      </c>
      <c r="E11" s="196">
        <f t="shared" si="5"/>
        <v>8.915850468570925</v>
      </c>
      <c r="F11" s="196">
        <f t="shared" si="5"/>
        <v>8.5169751994847704</v>
      </c>
      <c r="G11" s="196">
        <f t="shared" si="5"/>
        <v>8.1180999303986159</v>
      </c>
      <c r="H11" s="196">
        <f t="shared" si="5"/>
        <v>7.719224661312464</v>
      </c>
      <c r="I11" s="196">
        <f t="shared" si="5"/>
        <v>7.3203493922263103</v>
      </c>
      <c r="J11" s="196">
        <f t="shared" si="5"/>
        <v>6.9214741231401593</v>
      </c>
      <c r="K11" s="196">
        <f t="shared" si="5"/>
        <v>6.5225988540540101</v>
      </c>
      <c r="L11" s="196">
        <f t="shared" si="5"/>
        <v>6.12372358496786</v>
      </c>
      <c r="M11" s="196">
        <f t="shared" si="5"/>
        <v>5.7248483158817098</v>
      </c>
      <c r="N11" s="196">
        <f t="shared" si="5"/>
        <v>5.3259730467955606</v>
      </c>
      <c r="O11" s="196">
        <f t="shared" si="5"/>
        <v>4.9270977777094105</v>
      </c>
      <c r="P11" s="196">
        <f t="shared" si="5"/>
        <v>4.5282225086232613</v>
      </c>
      <c r="Q11" s="196">
        <f t="shared" si="5"/>
        <v>107.59098903771886</v>
      </c>
    </row>
    <row r="12" spans="1:17">
      <c r="A12" s="197"/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</row>
    <row r="13" spans="1:17">
      <c r="A13" s="195" t="s">
        <v>211</v>
      </c>
      <c r="B13" s="196">
        <f t="shared" ref="B13:Q13" si="6">B7/B11</f>
        <v>1.5851211305420789</v>
      </c>
      <c r="C13" s="196">
        <f t="shared" si="6"/>
        <v>1.2702169364970453</v>
      </c>
      <c r="D13" s="196">
        <f t="shared" si="6"/>
        <v>1.3051644873842629</v>
      </c>
      <c r="E13" s="196">
        <f t="shared" si="6"/>
        <v>1.3432478374157195</v>
      </c>
      <c r="F13" s="196">
        <f t="shared" si="6"/>
        <v>1.3849013681047306</v>
      </c>
      <c r="G13" s="196">
        <f t="shared" si="6"/>
        <v>1.4306447056169878</v>
      </c>
      <c r="H13" s="196">
        <f t="shared" si="6"/>
        <v>1.4811047402694013</v>
      </c>
      <c r="I13" s="196">
        <f t="shared" si="6"/>
        <v>1.5370448447512526</v>
      </c>
      <c r="J13" s="196">
        <f t="shared" si="6"/>
        <v>1.5994041950320432</v>
      </c>
      <c r="K13" s="196">
        <f t="shared" si="6"/>
        <v>1.6693515186050247</v>
      </c>
      <c r="L13" s="196">
        <f t="shared" si="6"/>
        <v>1.7483598482402296</v>
      </c>
      <c r="M13" s="196">
        <f t="shared" si="6"/>
        <v>1.8383125260622164</v>
      </c>
      <c r="N13" s="196">
        <f t="shared" si="6"/>
        <v>1.9416568408435717</v>
      </c>
      <c r="O13" s="196">
        <f t="shared" si="6"/>
        <v>2.0616322916755681</v>
      </c>
      <c r="P13" s="196">
        <f t="shared" si="6"/>
        <v>2.202619493041869</v>
      </c>
      <c r="Q13" s="196">
        <f t="shared" si="6"/>
        <v>1.5684189567680209</v>
      </c>
    </row>
    <row r="14" spans="1:17">
      <c r="A14" s="197"/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</row>
    <row r="15" spans="1:17">
      <c r="A15" s="195" t="s">
        <v>212</v>
      </c>
      <c r="B15" s="196">
        <f t="shared" ref="B15:Q15" si="7">B7/B6</f>
        <v>2.1803087885858057</v>
      </c>
      <c r="C15" s="196">
        <f t="shared" si="7"/>
        <v>2.2842778587732733</v>
      </c>
      <c r="D15" s="196">
        <f t="shared" si="7"/>
        <v>2.4302052594852723</v>
      </c>
      <c r="E15" s="196">
        <f t="shared" si="7"/>
        <v>2.6014368548018973</v>
      </c>
      <c r="F15" s="196">
        <f t="shared" si="7"/>
        <v>2.8051612905281318</v>
      </c>
      <c r="G15" s="196">
        <f t="shared" si="7"/>
        <v>3.051580522201804</v>
      </c>
      <c r="H15" s="196">
        <f t="shared" si="7"/>
        <v>3.3556736930164464</v>
      </c>
      <c r="I15" s="196">
        <f t="shared" si="7"/>
        <v>3.7403643175916508</v>
      </c>
      <c r="J15" s="196">
        <f t="shared" si="7"/>
        <v>4.2425923982180933</v>
      </c>
      <c r="K15" s="196">
        <f t="shared" si="7"/>
        <v>4.9259608619515847</v>
      </c>
      <c r="L15" s="196">
        <f t="shared" si="7"/>
        <v>5.9100892167268242</v>
      </c>
      <c r="M15" s="196">
        <f t="shared" si="7"/>
        <v>7.4496957534700341</v>
      </c>
      <c r="N15" s="196">
        <f t="shared" si="7"/>
        <v>10.200365601188606</v>
      </c>
      <c r="O15" s="196">
        <f t="shared" si="7"/>
        <v>16.518659318765589</v>
      </c>
      <c r="P15" s="196">
        <f t="shared" si="7"/>
        <v>46.163424343778537</v>
      </c>
      <c r="Q15" s="196">
        <f t="shared" si="7"/>
        <v>3.7445747574578738</v>
      </c>
    </row>
    <row r="16" spans="1:17">
      <c r="A16" s="199"/>
      <c r="B16" s="200"/>
      <c r="C16" s="200"/>
      <c r="D16" s="200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</row>
    <row r="17" spans="1:17">
      <c r="A17" s="201" t="s">
        <v>42</v>
      </c>
      <c r="B17" s="202">
        <f>Q7/Q11</f>
        <v>1.5684189567680209</v>
      </c>
      <c r="C17" s="203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>
      <c r="A18" s="201" t="s">
        <v>213</v>
      </c>
      <c r="B18" s="202">
        <f>MIN(B13:P13)</f>
        <v>1.2702169364970453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>
      <c r="A19" s="204"/>
      <c r="B19" s="205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>
      <c r="A20" s="206"/>
      <c r="B20" s="205"/>
      <c r="C20" s="205"/>
      <c r="D20" s="207"/>
      <c r="E20" s="2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"/>
    </row>
    <row r="21" spans="1:17">
      <c r="A21" s="206"/>
      <c r="B21" s="208">
        <v>1.66</v>
      </c>
      <c r="C21" s="209">
        <v>1.26</v>
      </c>
      <c r="D21" s="207"/>
      <c r="E21" s="2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"/>
    </row>
    <row r="22" spans="1:17">
      <c r="A22" s="210" t="s">
        <v>214</v>
      </c>
      <c r="B22" s="208">
        <v>1.58</v>
      </c>
      <c r="C22" s="209">
        <v>1.2</v>
      </c>
      <c r="D22" s="207"/>
      <c r="E22" s="2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"/>
    </row>
    <row r="23" spans="1:17">
      <c r="A23" s="211" t="s">
        <v>215</v>
      </c>
      <c r="B23" s="209">
        <v>1.66</v>
      </c>
      <c r="C23" s="209">
        <v>1.26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>
      <c r="A24" s="210" t="s">
        <v>216</v>
      </c>
      <c r="B24" s="209">
        <v>1.52</v>
      </c>
      <c r="C24" s="209">
        <v>1.1200000000000001</v>
      </c>
      <c r="D24" s="205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>
      <c r="A25" s="212"/>
      <c r="B25" s="213"/>
      <c r="C25" s="213"/>
      <c r="D25" s="214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</row>
  </sheetData>
  <mergeCells count="2">
    <mergeCell ref="A1:Q1"/>
    <mergeCell ref="Q2:Q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 summaryRight="0"/>
  </sheetPr>
  <dimension ref="A1:AB22"/>
  <sheetViews>
    <sheetView workbookViewId="0">
      <selection activeCell="G21" sqref="G21"/>
    </sheetView>
  </sheetViews>
  <sheetFormatPr defaultColWidth="11.25" defaultRowHeight="15" customHeight="1"/>
  <cols>
    <col min="1" max="1" width="27.75" bestFit="1" customWidth="1"/>
    <col min="2" max="2" width="6.375" bestFit="1" customWidth="1"/>
    <col min="3" max="27" width="10.125" bestFit="1" customWidth="1"/>
    <col min="28" max="28" width="5.75" bestFit="1" customWidth="1"/>
  </cols>
  <sheetData>
    <row r="1" spans="1:28">
      <c r="A1" s="330" t="s">
        <v>217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  <c r="Q1" s="317"/>
      <c r="R1" s="317"/>
      <c r="S1" s="317"/>
      <c r="T1" s="317"/>
      <c r="U1" s="317"/>
      <c r="V1" s="317"/>
      <c r="W1" s="317"/>
      <c r="X1" s="317"/>
      <c r="Y1" s="317"/>
      <c r="Z1" s="317"/>
      <c r="AA1" s="317"/>
      <c r="AB1" s="331"/>
    </row>
    <row r="2" spans="1:28">
      <c r="A2" s="215" t="s">
        <v>218</v>
      </c>
      <c r="B2" s="216">
        <v>0</v>
      </c>
      <c r="C2" s="217">
        <v>1</v>
      </c>
      <c r="D2" s="217">
        <f t="shared" ref="D2:V2" si="0">C$2+1</f>
        <v>2</v>
      </c>
      <c r="E2" s="217">
        <f t="shared" si="0"/>
        <v>3</v>
      </c>
      <c r="F2" s="217">
        <f t="shared" si="0"/>
        <v>4</v>
      </c>
      <c r="G2" s="217">
        <f t="shared" si="0"/>
        <v>5</v>
      </c>
      <c r="H2" s="217">
        <f t="shared" si="0"/>
        <v>6</v>
      </c>
      <c r="I2" s="217">
        <f t="shared" si="0"/>
        <v>7</v>
      </c>
      <c r="J2" s="217">
        <f t="shared" si="0"/>
        <v>8</v>
      </c>
      <c r="K2" s="217">
        <f t="shared" si="0"/>
        <v>9</v>
      </c>
      <c r="L2" s="217">
        <f t="shared" si="0"/>
        <v>10</v>
      </c>
      <c r="M2" s="217">
        <f t="shared" si="0"/>
        <v>11</v>
      </c>
      <c r="N2" s="217">
        <f t="shared" si="0"/>
        <v>12</v>
      </c>
      <c r="O2" s="217">
        <f t="shared" si="0"/>
        <v>13</v>
      </c>
      <c r="P2" s="217">
        <f t="shared" si="0"/>
        <v>14</v>
      </c>
      <c r="Q2" s="217">
        <f t="shared" si="0"/>
        <v>15</v>
      </c>
      <c r="R2" s="217">
        <f t="shared" si="0"/>
        <v>16</v>
      </c>
      <c r="S2" s="217">
        <f t="shared" si="0"/>
        <v>17</v>
      </c>
      <c r="T2" s="217">
        <f t="shared" si="0"/>
        <v>18</v>
      </c>
      <c r="U2" s="217">
        <f t="shared" si="0"/>
        <v>19</v>
      </c>
      <c r="V2" s="217">
        <f t="shared" si="0"/>
        <v>20</v>
      </c>
      <c r="W2" s="215">
        <f t="shared" ref="W2:AA2" si="1">V2+1</f>
        <v>21</v>
      </c>
      <c r="X2" s="215">
        <f t="shared" si="1"/>
        <v>22</v>
      </c>
      <c r="Y2" s="215">
        <f t="shared" si="1"/>
        <v>23</v>
      </c>
      <c r="Z2" s="215">
        <f t="shared" si="1"/>
        <v>24</v>
      </c>
      <c r="AA2" s="215">
        <f t="shared" si="1"/>
        <v>25</v>
      </c>
      <c r="AB2" s="218"/>
    </row>
    <row r="3" spans="1:28">
      <c r="A3" s="219" t="s">
        <v>219</v>
      </c>
      <c r="B3" s="220"/>
      <c r="C3" s="221">
        <f>'P&amp;L Proj'!C2</f>
        <v>46112</v>
      </c>
      <c r="D3" s="221">
        <f>'P&amp;L Proj'!D2</f>
        <v>46477</v>
      </c>
      <c r="E3" s="221">
        <f>'P&amp;L Proj'!E2</f>
        <v>46843</v>
      </c>
      <c r="F3" s="221">
        <f>'P&amp;L Proj'!F2</f>
        <v>47208</v>
      </c>
      <c r="G3" s="221">
        <f>'P&amp;L Proj'!G2</f>
        <v>47573</v>
      </c>
      <c r="H3" s="221">
        <f>'P&amp;L Proj'!H2</f>
        <v>47938</v>
      </c>
      <c r="I3" s="221">
        <f>'P&amp;L Proj'!I2</f>
        <v>48304</v>
      </c>
      <c r="J3" s="221">
        <f>'P&amp;L Proj'!J2</f>
        <v>48669</v>
      </c>
      <c r="K3" s="221">
        <f>'P&amp;L Proj'!K2</f>
        <v>49034</v>
      </c>
      <c r="L3" s="221">
        <f>'P&amp;L Proj'!L2</f>
        <v>49399</v>
      </c>
      <c r="M3" s="221">
        <f>'P&amp;L Proj'!M2</f>
        <v>49765</v>
      </c>
      <c r="N3" s="221">
        <f>'P&amp;L Proj'!N2</f>
        <v>50130</v>
      </c>
      <c r="O3" s="221">
        <f>'P&amp;L Proj'!O2</f>
        <v>50495</v>
      </c>
      <c r="P3" s="221">
        <f>'P&amp;L Proj'!P2</f>
        <v>50860</v>
      </c>
      <c r="Q3" s="221">
        <f>'P&amp;L Proj'!Q2</f>
        <v>51226</v>
      </c>
      <c r="R3" s="221">
        <f>'P&amp;L Proj'!R2</f>
        <v>51591</v>
      </c>
      <c r="S3" s="221">
        <f>'P&amp;L Proj'!S2</f>
        <v>51956</v>
      </c>
      <c r="T3" s="221">
        <f>'P&amp;L Proj'!T2</f>
        <v>52321</v>
      </c>
      <c r="U3" s="221">
        <f>'P&amp;L Proj'!U2</f>
        <v>52687</v>
      </c>
      <c r="V3" s="221">
        <f>'P&amp;L Proj'!V2</f>
        <v>53052</v>
      </c>
      <c r="W3" s="221">
        <f>'P&amp;L Proj'!W2</f>
        <v>53417</v>
      </c>
      <c r="X3" s="221">
        <f>'P&amp;L Proj'!X2</f>
        <v>53782</v>
      </c>
      <c r="Y3" s="221">
        <f>'P&amp;L Proj'!Y2</f>
        <v>54148</v>
      </c>
      <c r="Z3" s="221">
        <f>'P&amp;L Proj'!Z2</f>
        <v>54513</v>
      </c>
      <c r="AA3" s="221">
        <f>'P&amp;L Proj'!AA2</f>
        <v>54878</v>
      </c>
      <c r="AB3" s="222" t="s">
        <v>64</v>
      </c>
    </row>
    <row r="4" spans="1:28">
      <c r="A4" s="223" t="s">
        <v>220</v>
      </c>
      <c r="B4" s="224"/>
      <c r="C4" s="225">
        <f>'P&amp;L Proj'!C34</f>
        <v>3.2045637701659575</v>
      </c>
      <c r="D4" s="225">
        <f>'P&amp;L Proj'!D34</f>
        <v>3.364007804317048</v>
      </c>
      <c r="E4" s="225">
        <f>'P&amp;L Proj'!E34</f>
        <v>3.5817518027774002</v>
      </c>
      <c r="F4" s="225">
        <f>'P&amp;L Proj'!F34</f>
        <v>3.7995746899791771</v>
      </c>
      <c r="G4" s="225">
        <f>'P&amp;L Proj'!G34</f>
        <v>4.0174237043160268</v>
      </c>
      <c r="H4" s="225">
        <f>'P&amp;L Proj'!H34</f>
        <v>4.2352450526160776</v>
      </c>
      <c r="I4" s="225">
        <f>'P&amp;L Proj'!I34</f>
        <v>4.4529838736821663</v>
      </c>
      <c r="J4" s="225">
        <f>'P&amp;L Proj'!J34</f>
        <v>4.6705842007933818</v>
      </c>
      <c r="K4" s="225">
        <f>'P&amp;L Proj'!K34</f>
        <v>4.8879889231362217</v>
      </c>
      <c r="L4" s="225">
        <f>'P&amp;L Proj'!L34</f>
        <v>5.105139746132723</v>
      </c>
      <c r="M4" s="225">
        <f>'P&amp;L Proj'!M34</f>
        <v>5.3219771506319393</v>
      </c>
      <c r="N4" s="225">
        <f>'P&amp;L Proj'!N34</f>
        <v>5.5384403509300988</v>
      </c>
      <c r="O4" s="225">
        <f>'P&amp;L Proj'!O34</f>
        <v>5.7544672515837973</v>
      </c>
      <c r="P4" s="225">
        <f>'P&amp;L Proj'!P34</f>
        <v>5.9699944029795162</v>
      </c>
      <c r="Q4" s="225">
        <f>'P&amp;L Proj'!Q34</f>
        <v>6.1849569556215656</v>
      </c>
      <c r="R4" s="225">
        <f>'P&amp;L Proj'!R34</f>
        <v>6.2164707814350511</v>
      </c>
      <c r="S4" s="225">
        <f>'P&amp;L Proj'!S34</f>
        <v>6.0312284829446359</v>
      </c>
      <c r="T4" s="225">
        <f>'P&amp;L Proj'!T34</f>
        <v>5.8452181607508216</v>
      </c>
      <c r="U4" s="225">
        <f>'P&amp;L Proj'!U34</f>
        <v>5.6583688816900004</v>
      </c>
      <c r="V4" s="225">
        <f>'P&amp;L Proj'!V34</f>
        <v>5.4706080635281751</v>
      </c>
      <c r="W4" s="225">
        <f>'P&amp;L Proj'!W34</f>
        <v>5.2818614206996006</v>
      </c>
      <c r="X4" s="225">
        <f>'P&amp;L Proj'!X34</f>
        <v>5.0920529084654991</v>
      </c>
      <c r="Y4" s="225">
        <f>'P&amp;L Proj'!Y34</f>
        <v>4.9011046654449117</v>
      </c>
      <c r="Z4" s="225">
        <f>'P&amp;L Proj'!Z34</f>
        <v>4.7089369544684345</v>
      </c>
      <c r="AA4" s="225">
        <f>'P&amp;L Proj'!AA34</f>
        <v>4.5154681017040463</v>
      </c>
      <c r="AB4" s="226">
        <f t="shared" ref="AB4:AB6" si="2">SUM(A4:V4)</f>
        <v>99.310994050011772</v>
      </c>
    </row>
    <row r="5" spans="1:28">
      <c r="A5" s="223" t="s">
        <v>161</v>
      </c>
      <c r="B5" s="224"/>
      <c r="C5" s="225">
        <f>'P&amp;L Proj'!C31</f>
        <v>5.7421418945527005</v>
      </c>
      <c r="D5" s="225">
        <f>'P&amp;L Proj'!D31</f>
        <v>5.4014359355416106</v>
      </c>
      <c r="E5" s="225">
        <f>'P&amp;L Proj'!E31</f>
        <v>5.0025606664554569</v>
      </c>
      <c r="F5" s="225">
        <f>'P&amp;L Proj'!F31</f>
        <v>4.6036853973693042</v>
      </c>
      <c r="G5" s="225">
        <f>'P&amp;L Proj'!G31</f>
        <v>4.2048101282831496</v>
      </c>
      <c r="H5" s="225">
        <f>'P&amp;L Proj'!H31</f>
        <v>3.8059348591969955</v>
      </c>
      <c r="I5" s="225">
        <f>'P&amp;L Proj'!I31</f>
        <v>3.4070595901108431</v>
      </c>
      <c r="J5" s="225">
        <f>'P&amp;L Proj'!J31</f>
        <v>3.008184321024689</v>
      </c>
      <c r="K5" s="225">
        <f>'P&amp;L Proj'!K31</f>
        <v>2.6093090519385385</v>
      </c>
      <c r="L5" s="225">
        <f>'P&amp;L Proj'!L31</f>
        <v>2.2104337828523888</v>
      </c>
      <c r="M5" s="225">
        <f>'P&amp;L Proj'!M31</f>
        <v>1.8115585137662391</v>
      </c>
      <c r="N5" s="225">
        <f>'P&amp;L Proj'!N31</f>
        <v>1.4126832446800894</v>
      </c>
      <c r="O5" s="225">
        <f>'P&amp;L Proj'!O31</f>
        <v>1.0138079755939398</v>
      </c>
      <c r="P5" s="225">
        <f>'P&amp;L Proj'!P31</f>
        <v>0.61493270650778997</v>
      </c>
      <c r="Q5" s="225">
        <f>'P&amp;L Proj'!Q31</f>
        <v>0.2160574374216401</v>
      </c>
      <c r="R5" s="225">
        <f>'P&amp;L Proj'!R31</f>
        <v>0</v>
      </c>
      <c r="S5" s="225">
        <f>'P&amp;L Proj'!S31</f>
        <v>0</v>
      </c>
      <c r="T5" s="225">
        <f>'P&amp;L Proj'!T31</f>
        <v>0</v>
      </c>
      <c r="U5" s="225">
        <f>'P&amp;L Proj'!U31</f>
        <v>0</v>
      </c>
      <c r="V5" s="225">
        <f>'P&amp;L Proj'!V31</f>
        <v>0</v>
      </c>
      <c r="W5" s="225">
        <f>'P&amp;L Proj'!W31</f>
        <v>0</v>
      </c>
      <c r="X5" s="225">
        <f>'P&amp;L Proj'!X31</f>
        <v>0</v>
      </c>
      <c r="Y5" s="225">
        <f>'P&amp;L Proj'!Y31</f>
        <v>0</v>
      </c>
      <c r="Z5" s="225">
        <f>'P&amp;L Proj'!Z31</f>
        <v>0</v>
      </c>
      <c r="AA5" s="225">
        <f>'P&amp;L Proj'!AA31</f>
        <v>0</v>
      </c>
      <c r="AB5" s="226">
        <f t="shared" si="2"/>
        <v>45.064595505295365</v>
      </c>
    </row>
    <row r="6" spans="1:28">
      <c r="A6" s="223" t="s">
        <v>162</v>
      </c>
      <c r="B6" s="224"/>
      <c r="C6" s="225">
        <f>'P&amp;L Proj'!C32</f>
        <v>3.5729367732813437</v>
      </c>
      <c r="D6" s="225">
        <f>'P&amp;L Proj'!D32</f>
        <v>3.5729367732813437</v>
      </c>
      <c r="E6" s="225">
        <f>'P&amp;L Proj'!E32</f>
        <v>3.5729367732813437</v>
      </c>
      <c r="F6" s="225">
        <f>'P&amp;L Proj'!F32</f>
        <v>3.5729367732813437</v>
      </c>
      <c r="G6" s="225">
        <f>'P&amp;L Proj'!G32</f>
        <v>3.5729367732813437</v>
      </c>
      <c r="H6" s="225">
        <f>'P&amp;L Proj'!H32</f>
        <v>3.5729367732813437</v>
      </c>
      <c r="I6" s="225">
        <f>'P&amp;L Proj'!I32</f>
        <v>3.5729367732813437</v>
      </c>
      <c r="J6" s="225">
        <f>'P&amp;L Proj'!J32</f>
        <v>3.5729367732813437</v>
      </c>
      <c r="K6" s="225">
        <f>'P&amp;L Proj'!K32</f>
        <v>3.5729367732813437</v>
      </c>
      <c r="L6" s="225">
        <f>'P&amp;L Proj'!L32</f>
        <v>3.5729367732813437</v>
      </c>
      <c r="M6" s="225">
        <f>'P&amp;L Proj'!M32</f>
        <v>3.5729367732813437</v>
      </c>
      <c r="N6" s="225">
        <f>'P&amp;L Proj'!N32</f>
        <v>3.5729367732813437</v>
      </c>
      <c r="O6" s="225">
        <f>'P&amp;L Proj'!O32</f>
        <v>3.5729367732813437</v>
      </c>
      <c r="P6" s="225">
        <f>'P&amp;L Proj'!P32</f>
        <v>3.5729367732813437</v>
      </c>
      <c r="Q6" s="225">
        <f>'P&amp;L Proj'!Q32</f>
        <v>3.5729367732813437</v>
      </c>
      <c r="R6" s="225">
        <f>'P&amp;L Proj'!R32</f>
        <v>3.5729367732813437</v>
      </c>
      <c r="S6" s="225">
        <f>'P&amp;L Proj'!S32</f>
        <v>3.5729367732813437</v>
      </c>
      <c r="T6" s="225">
        <f>'P&amp;L Proj'!T32</f>
        <v>3.5729367732813437</v>
      </c>
      <c r="U6" s="225">
        <f>'P&amp;L Proj'!U32</f>
        <v>3.5729367732813437</v>
      </c>
      <c r="V6" s="225">
        <f>'P&amp;L Proj'!V32</f>
        <v>3.5729367732813437</v>
      </c>
      <c r="W6" s="225">
        <f>'P&amp;L Proj'!W32</f>
        <v>3.5729367732813437</v>
      </c>
      <c r="X6" s="225">
        <f>'P&amp;L Proj'!X32</f>
        <v>3.5729367732813437</v>
      </c>
      <c r="Y6" s="225">
        <f>'P&amp;L Proj'!Y32</f>
        <v>3.5729367732813437</v>
      </c>
      <c r="Z6" s="225">
        <f>'P&amp;L Proj'!Z32</f>
        <v>3.5729367732813437</v>
      </c>
      <c r="AA6" s="225">
        <f>'P&amp;L Proj'!AA32</f>
        <v>3.5729367732813437</v>
      </c>
      <c r="AB6" s="226">
        <f t="shared" si="2"/>
        <v>71.458735465626859</v>
      </c>
    </row>
    <row r="7" spans="1:28">
      <c r="A7" s="227" t="s">
        <v>221</v>
      </c>
      <c r="B7" s="224"/>
      <c r="C7" s="228">
        <f t="shared" ref="C7:AB7" si="3">SUM(C4:C6)</f>
        <v>12.519642438000002</v>
      </c>
      <c r="D7" s="228">
        <f t="shared" si="3"/>
        <v>12.338380513140002</v>
      </c>
      <c r="E7" s="228">
        <f t="shared" si="3"/>
        <v>12.157249242514201</v>
      </c>
      <c r="F7" s="228">
        <f t="shared" si="3"/>
        <v>11.976196860629825</v>
      </c>
      <c r="G7" s="228">
        <f t="shared" si="3"/>
        <v>11.79517060588052</v>
      </c>
      <c r="H7" s="228">
        <f t="shared" si="3"/>
        <v>11.614116685094416</v>
      </c>
      <c r="I7" s="228">
        <f t="shared" si="3"/>
        <v>11.432980237074354</v>
      </c>
      <c r="J7" s="228">
        <f t="shared" si="3"/>
        <v>11.251705295099415</v>
      </c>
      <c r="K7" s="228">
        <f t="shared" si="3"/>
        <v>11.070234748356103</v>
      </c>
      <c r="L7" s="228">
        <f t="shared" si="3"/>
        <v>10.888510302266456</v>
      </c>
      <c r="M7" s="228">
        <f t="shared" si="3"/>
        <v>10.706472437679523</v>
      </c>
      <c r="N7" s="228">
        <f t="shared" si="3"/>
        <v>10.524060368891531</v>
      </c>
      <c r="O7" s="228">
        <f t="shared" si="3"/>
        <v>10.34121200045908</v>
      </c>
      <c r="P7" s="228">
        <f t="shared" si="3"/>
        <v>10.15786388276865</v>
      </c>
      <c r="Q7" s="228">
        <f t="shared" si="3"/>
        <v>9.9739511663245501</v>
      </c>
      <c r="R7" s="228">
        <f t="shared" si="3"/>
        <v>9.7894075547163943</v>
      </c>
      <c r="S7" s="228">
        <f t="shared" si="3"/>
        <v>9.6041652562259792</v>
      </c>
      <c r="T7" s="228">
        <f t="shared" si="3"/>
        <v>9.4181549340321649</v>
      </c>
      <c r="U7" s="228">
        <f t="shared" si="3"/>
        <v>9.2313056549713437</v>
      </c>
      <c r="V7" s="228">
        <f t="shared" si="3"/>
        <v>9.0435448368095184</v>
      </c>
      <c r="W7" s="226">
        <f t="shared" si="3"/>
        <v>8.8547981939809439</v>
      </c>
      <c r="X7" s="226">
        <f t="shared" si="3"/>
        <v>8.6649896817468424</v>
      </c>
      <c r="Y7" s="226">
        <f t="shared" si="3"/>
        <v>8.474041438726255</v>
      </c>
      <c r="Z7" s="226">
        <f t="shared" si="3"/>
        <v>8.2818737277497778</v>
      </c>
      <c r="AA7" s="226">
        <f t="shared" si="3"/>
        <v>8.0884048749853896</v>
      </c>
      <c r="AB7" s="226">
        <f t="shared" si="3"/>
        <v>215.83432502093399</v>
      </c>
    </row>
    <row r="8" spans="1:28">
      <c r="A8" s="229"/>
      <c r="B8" s="224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230"/>
      <c r="W8" s="231"/>
      <c r="X8" s="231"/>
      <c r="Y8" s="231"/>
      <c r="Z8" s="231"/>
      <c r="AA8" s="231"/>
      <c r="AB8" s="232"/>
    </row>
    <row r="9" spans="1:28">
      <c r="A9" s="223" t="s">
        <v>222</v>
      </c>
      <c r="B9" s="233"/>
      <c r="C9" s="234">
        <f t="shared" ref="C9:AA9" si="4">C6</f>
        <v>3.5729367732813437</v>
      </c>
      <c r="D9" s="234">
        <f t="shared" si="4"/>
        <v>3.5729367732813437</v>
      </c>
      <c r="E9" s="234">
        <f t="shared" si="4"/>
        <v>3.5729367732813437</v>
      </c>
      <c r="F9" s="234">
        <f t="shared" si="4"/>
        <v>3.5729367732813437</v>
      </c>
      <c r="G9" s="234">
        <f t="shared" si="4"/>
        <v>3.5729367732813437</v>
      </c>
      <c r="H9" s="234">
        <f t="shared" si="4"/>
        <v>3.5729367732813437</v>
      </c>
      <c r="I9" s="234">
        <f t="shared" si="4"/>
        <v>3.5729367732813437</v>
      </c>
      <c r="J9" s="234">
        <f t="shared" si="4"/>
        <v>3.5729367732813437</v>
      </c>
      <c r="K9" s="234">
        <f t="shared" si="4"/>
        <v>3.5729367732813437</v>
      </c>
      <c r="L9" s="234">
        <f t="shared" si="4"/>
        <v>3.5729367732813437</v>
      </c>
      <c r="M9" s="234">
        <f t="shared" si="4"/>
        <v>3.5729367732813437</v>
      </c>
      <c r="N9" s="234">
        <f t="shared" si="4"/>
        <v>3.5729367732813437</v>
      </c>
      <c r="O9" s="234">
        <f t="shared" si="4"/>
        <v>3.5729367732813437</v>
      </c>
      <c r="P9" s="234">
        <f t="shared" si="4"/>
        <v>3.5729367732813437</v>
      </c>
      <c r="Q9" s="234">
        <f t="shared" si="4"/>
        <v>3.5729367732813437</v>
      </c>
      <c r="R9" s="234">
        <f t="shared" si="4"/>
        <v>3.5729367732813437</v>
      </c>
      <c r="S9" s="234">
        <f t="shared" si="4"/>
        <v>3.5729367732813437</v>
      </c>
      <c r="T9" s="234">
        <f t="shared" si="4"/>
        <v>3.5729367732813437</v>
      </c>
      <c r="U9" s="234">
        <f t="shared" si="4"/>
        <v>3.5729367732813437</v>
      </c>
      <c r="V9" s="234">
        <f t="shared" si="4"/>
        <v>3.5729367732813437</v>
      </c>
      <c r="W9" s="234">
        <f t="shared" si="4"/>
        <v>3.5729367732813437</v>
      </c>
      <c r="X9" s="234">
        <f t="shared" si="4"/>
        <v>3.5729367732813437</v>
      </c>
      <c r="Y9" s="234">
        <f t="shared" si="4"/>
        <v>3.5729367732813437</v>
      </c>
      <c r="Z9" s="234">
        <f t="shared" si="4"/>
        <v>3.5729367732813437</v>
      </c>
      <c r="AA9" s="234">
        <f t="shared" si="4"/>
        <v>3.5729367732813437</v>
      </c>
      <c r="AB9" s="226">
        <f t="shared" ref="AB9:AB10" si="5">SUM(A9:V9)</f>
        <v>71.458735465626859</v>
      </c>
    </row>
    <row r="10" spans="1:28">
      <c r="A10" s="223" t="s">
        <v>223</v>
      </c>
      <c r="B10" s="233"/>
      <c r="C10" s="234">
        <f>'P&amp;L Proj'!C43</f>
        <v>2.1560825356008109</v>
      </c>
      <c r="D10" s="234">
        <f>'P&amp;L Proj'!D43</f>
        <v>4.3121650712016208</v>
      </c>
      <c r="E10" s="234">
        <f>'P&amp;L Proj'!E43</f>
        <v>4.3121650712016208</v>
      </c>
      <c r="F10" s="234">
        <f>'P&amp;L Proj'!F43</f>
        <v>4.3121650712016208</v>
      </c>
      <c r="G10" s="234">
        <f>'P&amp;L Proj'!G43</f>
        <v>4.3121650712016208</v>
      </c>
      <c r="H10" s="234">
        <f>'P&amp;L Proj'!H43</f>
        <v>4.3121650712016208</v>
      </c>
      <c r="I10" s="234">
        <f>'P&amp;L Proj'!I43</f>
        <v>4.3121650712016208</v>
      </c>
      <c r="J10" s="234">
        <f>'P&amp;L Proj'!J43</f>
        <v>4.3121650712016208</v>
      </c>
      <c r="K10" s="234">
        <f>'P&amp;L Proj'!K43</f>
        <v>4.3121650712016208</v>
      </c>
      <c r="L10" s="234">
        <f>'P&amp;L Proj'!L43</f>
        <v>4.3121650712016208</v>
      </c>
      <c r="M10" s="234">
        <f>'P&amp;L Proj'!M43</f>
        <v>4.3121650712016208</v>
      </c>
      <c r="N10" s="234">
        <f>'P&amp;L Proj'!N43</f>
        <v>4.3121650712016208</v>
      </c>
      <c r="O10" s="234">
        <f>'P&amp;L Proj'!O43</f>
        <v>4.3121650712016208</v>
      </c>
      <c r="P10" s="234">
        <f>'P&amp;L Proj'!P43</f>
        <v>4.3121650712016208</v>
      </c>
      <c r="Q10" s="234">
        <f>'P&amp;L Proj'!Q43</f>
        <v>4.3121650712016208</v>
      </c>
      <c r="R10" s="234">
        <f>'P&amp;L Proj'!R43</f>
        <v>0</v>
      </c>
      <c r="S10" s="234">
        <f>'P&amp;L Proj'!S43</f>
        <v>0</v>
      </c>
      <c r="T10" s="234">
        <v>0</v>
      </c>
      <c r="U10" s="234">
        <v>0</v>
      </c>
      <c r="V10" s="234">
        <v>0</v>
      </c>
      <c r="W10" s="234">
        <v>0</v>
      </c>
      <c r="X10" s="234">
        <v>0</v>
      </c>
      <c r="Y10" s="234">
        <v>0</v>
      </c>
      <c r="Z10" s="234">
        <v>0</v>
      </c>
      <c r="AA10" s="234">
        <v>0</v>
      </c>
      <c r="AB10" s="226">
        <f t="shared" si="5"/>
        <v>62.526393532423484</v>
      </c>
    </row>
    <row r="11" spans="1:28">
      <c r="A11" s="227" t="s">
        <v>224</v>
      </c>
      <c r="B11" s="233"/>
      <c r="C11" s="235">
        <f t="shared" ref="C11:AA11" si="6">C9+C10</f>
        <v>5.7290193088821546</v>
      </c>
      <c r="D11" s="235">
        <f t="shared" si="6"/>
        <v>7.8851018444829641</v>
      </c>
      <c r="E11" s="235">
        <f t="shared" si="6"/>
        <v>7.8851018444829641</v>
      </c>
      <c r="F11" s="235">
        <f t="shared" si="6"/>
        <v>7.8851018444829641</v>
      </c>
      <c r="G11" s="235">
        <f t="shared" si="6"/>
        <v>7.8851018444829641</v>
      </c>
      <c r="H11" s="235">
        <f t="shared" si="6"/>
        <v>7.8851018444829641</v>
      </c>
      <c r="I11" s="235">
        <f t="shared" si="6"/>
        <v>7.8851018444829641</v>
      </c>
      <c r="J11" s="235">
        <f t="shared" si="6"/>
        <v>7.8851018444829641</v>
      </c>
      <c r="K11" s="235">
        <f t="shared" si="6"/>
        <v>7.8851018444829641</v>
      </c>
      <c r="L11" s="235">
        <f t="shared" si="6"/>
        <v>7.8851018444829641</v>
      </c>
      <c r="M11" s="235">
        <f t="shared" si="6"/>
        <v>7.8851018444829641</v>
      </c>
      <c r="N11" s="235">
        <f t="shared" si="6"/>
        <v>7.8851018444829641</v>
      </c>
      <c r="O11" s="235">
        <f t="shared" si="6"/>
        <v>7.8851018444829641</v>
      </c>
      <c r="P11" s="235">
        <f t="shared" si="6"/>
        <v>7.8851018444829641</v>
      </c>
      <c r="Q11" s="235">
        <f t="shared" si="6"/>
        <v>7.8851018444829641</v>
      </c>
      <c r="R11" s="235">
        <f t="shared" si="6"/>
        <v>3.5729367732813437</v>
      </c>
      <c r="S11" s="235">
        <f t="shared" si="6"/>
        <v>3.5729367732813437</v>
      </c>
      <c r="T11" s="235">
        <f t="shared" si="6"/>
        <v>3.5729367732813437</v>
      </c>
      <c r="U11" s="235">
        <f t="shared" si="6"/>
        <v>3.5729367732813437</v>
      </c>
      <c r="V11" s="235">
        <f t="shared" si="6"/>
        <v>3.5729367732813437</v>
      </c>
      <c r="W11" s="235">
        <f t="shared" si="6"/>
        <v>3.5729367732813437</v>
      </c>
      <c r="X11" s="235">
        <f t="shared" si="6"/>
        <v>3.5729367732813437</v>
      </c>
      <c r="Y11" s="235">
        <f t="shared" si="6"/>
        <v>3.5729367732813437</v>
      </c>
      <c r="Z11" s="235">
        <f t="shared" si="6"/>
        <v>3.5729367732813437</v>
      </c>
      <c r="AA11" s="235">
        <f t="shared" si="6"/>
        <v>3.5729367732813437</v>
      </c>
      <c r="AB11" s="226">
        <f>SUM(AB8:AB10)</f>
        <v>133.98512899805036</v>
      </c>
    </row>
    <row r="12" spans="1:28">
      <c r="A12" s="236"/>
      <c r="B12" s="233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1"/>
      <c r="X12" s="231"/>
      <c r="Y12" s="231"/>
      <c r="Z12" s="231"/>
      <c r="AA12" s="231"/>
      <c r="AB12" s="232"/>
    </row>
    <row r="13" spans="1:28">
      <c r="A13" s="223" t="s">
        <v>225</v>
      </c>
      <c r="B13" s="238">
        <f>'Project Cost'!C11</f>
        <v>26.797025799610083</v>
      </c>
      <c r="C13" s="230"/>
      <c r="D13" s="237"/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1"/>
      <c r="X13" s="231"/>
      <c r="Y13" s="231"/>
      <c r="Z13" s="231"/>
      <c r="AA13" s="231"/>
      <c r="AB13" s="232"/>
    </row>
    <row r="14" spans="1:28">
      <c r="A14" s="223" t="s">
        <v>226</v>
      </c>
      <c r="B14" s="238">
        <f>'Project Cost'!C13</f>
        <v>89.323419332033595</v>
      </c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1"/>
      <c r="X14" s="231"/>
      <c r="Y14" s="231"/>
      <c r="Z14" s="231"/>
      <c r="AA14" s="231"/>
      <c r="AB14" s="232"/>
    </row>
    <row r="15" spans="1:28">
      <c r="A15" s="236"/>
      <c r="B15" s="233"/>
      <c r="C15" s="237"/>
      <c r="D15" s="237"/>
      <c r="E15" s="237"/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1"/>
      <c r="X15" s="231"/>
      <c r="Y15" s="231"/>
      <c r="Z15" s="231"/>
      <c r="AA15" s="231"/>
      <c r="AB15" s="232"/>
    </row>
    <row r="16" spans="1:28">
      <c r="A16" s="223" t="s">
        <v>227</v>
      </c>
      <c r="B16" s="233"/>
      <c r="C16" s="234">
        <f>C7-C11-B13</f>
        <v>-20.006402670492236</v>
      </c>
      <c r="D16" s="234">
        <f t="shared" ref="D16:AA16" si="7">D7-D11</f>
        <v>4.4532786686570383</v>
      </c>
      <c r="E16" s="234">
        <f t="shared" si="7"/>
        <v>4.2721473980312368</v>
      </c>
      <c r="F16" s="234">
        <f t="shared" si="7"/>
        <v>4.0910950161468609</v>
      </c>
      <c r="G16" s="234">
        <f t="shared" si="7"/>
        <v>3.9100687613975555</v>
      </c>
      <c r="H16" s="234">
        <f t="shared" si="7"/>
        <v>3.7290148406114518</v>
      </c>
      <c r="I16" s="234">
        <f t="shared" si="7"/>
        <v>3.5478783925913895</v>
      </c>
      <c r="J16" s="234">
        <f t="shared" si="7"/>
        <v>3.3666034506164504</v>
      </c>
      <c r="K16" s="234">
        <f t="shared" si="7"/>
        <v>3.1851329038731393</v>
      </c>
      <c r="L16" s="234">
        <f t="shared" si="7"/>
        <v>3.0034084577834914</v>
      </c>
      <c r="M16" s="234">
        <f t="shared" si="7"/>
        <v>2.8213705931965585</v>
      </c>
      <c r="N16" s="234">
        <f t="shared" si="7"/>
        <v>2.6389585244085669</v>
      </c>
      <c r="O16" s="234">
        <f t="shared" si="7"/>
        <v>2.4561101559761163</v>
      </c>
      <c r="P16" s="234">
        <f t="shared" si="7"/>
        <v>2.2727620382856859</v>
      </c>
      <c r="Q16" s="234">
        <f t="shared" si="7"/>
        <v>2.088849321841586</v>
      </c>
      <c r="R16" s="234">
        <f t="shared" si="7"/>
        <v>6.2164707814350511</v>
      </c>
      <c r="S16" s="234">
        <f t="shared" si="7"/>
        <v>6.0312284829446359</v>
      </c>
      <c r="T16" s="234">
        <f t="shared" si="7"/>
        <v>5.8452181607508216</v>
      </c>
      <c r="U16" s="234">
        <f t="shared" si="7"/>
        <v>5.6583688816900004</v>
      </c>
      <c r="V16" s="234">
        <f t="shared" si="7"/>
        <v>5.4706080635281751</v>
      </c>
      <c r="W16" s="234">
        <f t="shared" si="7"/>
        <v>5.2818614206996006</v>
      </c>
      <c r="X16" s="234">
        <f t="shared" si="7"/>
        <v>5.0920529084654991</v>
      </c>
      <c r="Y16" s="234">
        <f t="shared" si="7"/>
        <v>4.9011046654449117</v>
      </c>
      <c r="Z16" s="234">
        <f t="shared" si="7"/>
        <v>4.7089369544684345</v>
      </c>
      <c r="AA16" s="234">
        <f t="shared" si="7"/>
        <v>4.5154681017040463</v>
      </c>
      <c r="AB16" s="232"/>
    </row>
    <row r="17" spans="1:28">
      <c r="A17" s="223" t="s">
        <v>228</v>
      </c>
      <c r="B17" s="233"/>
      <c r="C17" s="234">
        <f>C7+B17-B14</f>
        <v>-76.803776894033589</v>
      </c>
      <c r="D17" s="234">
        <f t="shared" ref="D17:AA17" si="8">D7</f>
        <v>12.338380513140002</v>
      </c>
      <c r="E17" s="234">
        <f t="shared" si="8"/>
        <v>12.157249242514201</v>
      </c>
      <c r="F17" s="234">
        <f t="shared" si="8"/>
        <v>11.976196860629825</v>
      </c>
      <c r="G17" s="234">
        <f t="shared" si="8"/>
        <v>11.79517060588052</v>
      </c>
      <c r="H17" s="234">
        <f t="shared" si="8"/>
        <v>11.614116685094416</v>
      </c>
      <c r="I17" s="234">
        <f t="shared" si="8"/>
        <v>11.432980237074354</v>
      </c>
      <c r="J17" s="234">
        <f t="shared" si="8"/>
        <v>11.251705295099415</v>
      </c>
      <c r="K17" s="234">
        <f t="shared" si="8"/>
        <v>11.070234748356103</v>
      </c>
      <c r="L17" s="234">
        <f t="shared" si="8"/>
        <v>10.888510302266456</v>
      </c>
      <c r="M17" s="234">
        <f t="shared" si="8"/>
        <v>10.706472437679523</v>
      </c>
      <c r="N17" s="234">
        <f t="shared" si="8"/>
        <v>10.524060368891531</v>
      </c>
      <c r="O17" s="234">
        <f t="shared" si="8"/>
        <v>10.34121200045908</v>
      </c>
      <c r="P17" s="234">
        <f t="shared" si="8"/>
        <v>10.15786388276865</v>
      </c>
      <c r="Q17" s="234">
        <f t="shared" si="8"/>
        <v>9.9739511663245501</v>
      </c>
      <c r="R17" s="234">
        <f t="shared" si="8"/>
        <v>9.7894075547163943</v>
      </c>
      <c r="S17" s="234">
        <f t="shared" si="8"/>
        <v>9.6041652562259792</v>
      </c>
      <c r="T17" s="234">
        <f t="shared" si="8"/>
        <v>9.4181549340321649</v>
      </c>
      <c r="U17" s="234">
        <f t="shared" si="8"/>
        <v>9.2313056549713437</v>
      </c>
      <c r="V17" s="234">
        <f t="shared" si="8"/>
        <v>9.0435448368095184</v>
      </c>
      <c r="W17" s="234">
        <f t="shared" si="8"/>
        <v>8.8547981939809439</v>
      </c>
      <c r="X17" s="234">
        <f t="shared" si="8"/>
        <v>8.6649896817468424</v>
      </c>
      <c r="Y17" s="234">
        <f t="shared" si="8"/>
        <v>8.474041438726255</v>
      </c>
      <c r="Z17" s="234">
        <f t="shared" si="8"/>
        <v>8.2818737277497778</v>
      </c>
      <c r="AA17" s="234">
        <f t="shared" si="8"/>
        <v>8.0884048749853896</v>
      </c>
      <c r="AB17" s="232"/>
    </row>
    <row r="18" spans="1:28">
      <c r="A18" s="236"/>
      <c r="B18" s="233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1"/>
      <c r="X18" s="231"/>
      <c r="Y18" s="231"/>
      <c r="Z18" s="231"/>
      <c r="AA18" s="231"/>
      <c r="AB18" s="232"/>
    </row>
    <row r="19" spans="1:28">
      <c r="A19" s="223" t="s">
        <v>229</v>
      </c>
      <c r="B19" s="239">
        <f t="shared" ref="B19:B20" si="9">IRR(C16:AA16)</f>
        <v>0.1910981880602538</v>
      </c>
      <c r="C19" s="237"/>
      <c r="D19" s="237"/>
      <c r="E19" s="237"/>
      <c r="F19" s="237"/>
      <c r="G19" s="237"/>
      <c r="H19" s="237"/>
      <c r="I19" s="237"/>
      <c r="J19" s="23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1"/>
      <c r="X19" s="231"/>
      <c r="Y19" s="231"/>
      <c r="Z19" s="231"/>
      <c r="AA19" s="231"/>
      <c r="AB19" s="232"/>
    </row>
    <row r="20" spans="1:28">
      <c r="A20" s="223" t="s">
        <v>230</v>
      </c>
      <c r="B20" s="239">
        <f t="shared" si="9"/>
        <v>0.13998115175086956</v>
      </c>
      <c r="C20" s="237"/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1"/>
      <c r="X20" s="231"/>
      <c r="Y20" s="231"/>
      <c r="Z20" s="231"/>
      <c r="AA20" s="231"/>
      <c r="AB20" s="232"/>
    </row>
    <row r="21" spans="1:28">
      <c r="A21" s="229"/>
      <c r="B21" s="224"/>
      <c r="C21" s="230"/>
      <c r="D21" s="230"/>
      <c r="E21" s="230"/>
      <c r="F21" s="230"/>
      <c r="G21" s="230"/>
      <c r="H21" s="230"/>
      <c r="I21" s="230"/>
      <c r="J21" s="230"/>
      <c r="K21" s="240"/>
      <c r="L21" s="230"/>
      <c r="M21" s="230"/>
      <c r="N21" s="230"/>
      <c r="O21" s="230"/>
      <c r="P21" s="230"/>
      <c r="Q21" s="230"/>
      <c r="R21" s="230"/>
      <c r="S21" s="230"/>
      <c r="T21" s="230"/>
      <c r="U21" s="230"/>
      <c r="V21" s="230"/>
      <c r="W21" s="231"/>
      <c r="X21" s="231"/>
      <c r="Y21" s="231"/>
      <c r="Z21" s="231"/>
      <c r="AA21" s="231"/>
      <c r="AB21" s="232"/>
    </row>
    <row r="22" spans="1:28">
      <c r="A22" s="223" t="s">
        <v>231</v>
      </c>
      <c r="B22" s="239">
        <v>7.0000000000000007E-2</v>
      </c>
      <c r="C22" s="230"/>
      <c r="D22" s="230"/>
      <c r="E22" s="230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1"/>
      <c r="X22" s="231"/>
      <c r="Y22" s="231"/>
      <c r="Z22" s="231"/>
      <c r="AA22" s="231"/>
      <c r="AB22" s="232"/>
    </row>
  </sheetData>
  <mergeCells count="1">
    <mergeCell ref="A1:AB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 summaryRight="0"/>
  </sheetPr>
  <dimension ref="A1:E45"/>
  <sheetViews>
    <sheetView workbookViewId="0">
      <selection activeCell="B2" sqref="B2"/>
    </sheetView>
  </sheetViews>
  <sheetFormatPr defaultColWidth="11.25" defaultRowHeight="15" customHeight="1"/>
  <cols>
    <col min="1" max="1" width="23.125" customWidth="1"/>
  </cols>
  <sheetData>
    <row r="1" spans="1:5" ht="15" customHeight="1">
      <c r="A1" s="241" t="s">
        <v>232</v>
      </c>
      <c r="B1" s="242" t="s">
        <v>233</v>
      </c>
      <c r="C1" s="243" t="s">
        <v>234</v>
      </c>
      <c r="D1" s="243" t="s">
        <v>235</v>
      </c>
      <c r="E1" s="244" t="s">
        <v>236</v>
      </c>
    </row>
    <row r="2" spans="1:5" ht="15.75">
      <c r="A2" s="245" t="s">
        <v>237</v>
      </c>
      <c r="B2" s="246" t="s">
        <v>238</v>
      </c>
      <c r="C2" s="247" t="s">
        <v>239</v>
      </c>
      <c r="D2" s="247" t="s">
        <v>240</v>
      </c>
      <c r="E2" s="248" t="s">
        <v>241</v>
      </c>
    </row>
    <row r="3" spans="1:5" ht="15.75">
      <c r="A3" s="249" t="s">
        <v>242</v>
      </c>
      <c r="B3" s="250">
        <v>21.47</v>
      </c>
      <c r="C3" s="250">
        <v>18.829999999999998</v>
      </c>
      <c r="D3" s="250">
        <v>19.41</v>
      </c>
      <c r="E3" s="250">
        <v>19.64</v>
      </c>
    </row>
    <row r="4" spans="1:5" ht="15.75">
      <c r="A4" s="249" t="s">
        <v>243</v>
      </c>
      <c r="B4" s="250">
        <v>6.16</v>
      </c>
      <c r="C4" s="250">
        <v>5.13</v>
      </c>
      <c r="D4" s="250">
        <v>5.21</v>
      </c>
      <c r="E4" s="250">
        <v>5.5</v>
      </c>
    </row>
    <row r="5" spans="1:5" ht="15.75">
      <c r="A5" s="249" t="s">
        <v>244</v>
      </c>
      <c r="B5" s="250">
        <v>5.52</v>
      </c>
      <c r="C5" s="250">
        <v>7.57</v>
      </c>
      <c r="D5" s="250">
        <v>20</v>
      </c>
      <c r="E5" s="250">
        <v>28</v>
      </c>
    </row>
    <row r="6" spans="1:5" ht="15.75">
      <c r="A6" s="249" t="s">
        <v>245</v>
      </c>
      <c r="B6" s="250">
        <v>1.04</v>
      </c>
      <c r="C6" s="250">
        <v>7.63</v>
      </c>
      <c r="D6" s="250">
        <v>49.3</v>
      </c>
      <c r="E6" s="250">
        <v>86.73</v>
      </c>
    </row>
    <row r="7" spans="1:5" ht="15.75">
      <c r="A7" s="249" t="s">
        <v>246</v>
      </c>
      <c r="B7" s="250">
        <v>0.43</v>
      </c>
      <c r="C7" s="250">
        <v>0.55000000000000004</v>
      </c>
      <c r="D7" s="250">
        <v>0.6</v>
      </c>
      <c r="E7" s="250">
        <v>0.7</v>
      </c>
    </row>
    <row r="8" spans="1:5" ht="15.75">
      <c r="A8" s="249" t="s">
        <v>247</v>
      </c>
      <c r="B8" s="250">
        <v>1.25</v>
      </c>
      <c r="C8" s="250">
        <v>3.2</v>
      </c>
      <c r="D8" s="250">
        <v>0.2</v>
      </c>
      <c r="E8" s="250">
        <v>0.25</v>
      </c>
    </row>
    <row r="9" spans="1:5" ht="15.75">
      <c r="A9" s="251" t="s">
        <v>248</v>
      </c>
      <c r="B9" s="252">
        <f t="shared" ref="B9:E9" si="0">SUM(B3:B8)</f>
        <v>35.869999999999997</v>
      </c>
      <c r="C9" s="252">
        <f t="shared" si="0"/>
        <v>42.91</v>
      </c>
      <c r="D9" s="252">
        <f t="shared" si="0"/>
        <v>94.72</v>
      </c>
      <c r="E9" s="252">
        <f t="shared" si="0"/>
        <v>140.82</v>
      </c>
    </row>
    <row r="10" spans="1:5" ht="15" customHeight="1">
      <c r="A10" s="251" t="s">
        <v>249</v>
      </c>
      <c r="B10" s="253"/>
      <c r="C10" s="253"/>
      <c r="D10" s="253"/>
      <c r="E10" s="253"/>
    </row>
    <row r="11" spans="1:5" ht="15.75">
      <c r="A11" s="249" t="s">
        <v>250</v>
      </c>
      <c r="B11" s="250">
        <v>7.37</v>
      </c>
      <c r="C11" s="250">
        <v>5.9</v>
      </c>
      <c r="D11" s="250">
        <v>4.17</v>
      </c>
      <c r="E11" s="250">
        <v>2.88</v>
      </c>
    </row>
    <row r="12" spans="1:5" ht="15.75">
      <c r="A12" s="249" t="s">
        <v>251</v>
      </c>
      <c r="B12" s="250">
        <v>1.46</v>
      </c>
      <c r="C12" s="250">
        <v>1.1399999999999999</v>
      </c>
      <c r="D12" s="250">
        <v>1.25</v>
      </c>
      <c r="E12" s="250">
        <v>0.87</v>
      </c>
    </row>
    <row r="13" spans="1:5" ht="15.75">
      <c r="A13" s="249" t="s">
        <v>252</v>
      </c>
      <c r="B13" s="250">
        <v>1.02</v>
      </c>
      <c r="C13" s="250">
        <v>0.87</v>
      </c>
      <c r="D13" s="250">
        <v>0.65</v>
      </c>
      <c r="E13" s="250">
        <v>0.49</v>
      </c>
    </row>
    <row r="14" spans="1:5" ht="15.75">
      <c r="A14" s="251" t="s">
        <v>253</v>
      </c>
      <c r="B14" s="252">
        <f t="shared" ref="B14:E14" si="1">SUM(B11:B13)</f>
        <v>9.85</v>
      </c>
      <c r="C14" s="252">
        <f t="shared" si="1"/>
        <v>7.91</v>
      </c>
      <c r="D14" s="252">
        <f t="shared" si="1"/>
        <v>6.07</v>
      </c>
      <c r="E14" s="252">
        <f t="shared" si="1"/>
        <v>4.24</v>
      </c>
    </row>
    <row r="15" spans="1:5" ht="15.75">
      <c r="A15" s="245" t="s">
        <v>254</v>
      </c>
      <c r="B15" s="254">
        <f t="shared" ref="B15:E15" si="2">B14+B9</f>
        <v>45.72</v>
      </c>
      <c r="C15" s="254">
        <f t="shared" si="2"/>
        <v>50.819999999999993</v>
      </c>
      <c r="D15" s="254">
        <f t="shared" si="2"/>
        <v>100.78999999999999</v>
      </c>
      <c r="E15" s="254">
        <f t="shared" si="2"/>
        <v>145.06</v>
      </c>
    </row>
    <row r="16" spans="1:5" ht="15" customHeight="1">
      <c r="A16" s="255"/>
      <c r="B16" s="255"/>
      <c r="C16" s="255"/>
      <c r="D16" s="255"/>
      <c r="E16" s="255"/>
    </row>
    <row r="17" spans="1:5" ht="15" customHeight="1">
      <c r="A17" s="245" t="s">
        <v>255</v>
      </c>
      <c r="B17" s="256"/>
      <c r="C17" s="256"/>
      <c r="D17" s="256"/>
      <c r="E17" s="256"/>
    </row>
    <row r="18" spans="1:5" ht="15.75">
      <c r="A18" s="249" t="s">
        <v>256</v>
      </c>
      <c r="B18" s="257">
        <v>14.08</v>
      </c>
      <c r="C18" s="257">
        <v>9.15</v>
      </c>
      <c r="D18" s="257">
        <v>8.24</v>
      </c>
      <c r="E18" s="257">
        <v>7.41</v>
      </c>
    </row>
    <row r="19" spans="1:5" ht="27">
      <c r="A19" s="249" t="s">
        <v>257</v>
      </c>
      <c r="B19" s="257">
        <v>2.72</v>
      </c>
      <c r="C19" s="257">
        <v>2.72</v>
      </c>
      <c r="D19" s="257">
        <v>2.8</v>
      </c>
      <c r="E19" s="257">
        <v>2.96</v>
      </c>
    </row>
    <row r="20" spans="1:5" ht="15.75">
      <c r="A20" s="249" t="s">
        <v>258</v>
      </c>
      <c r="B20" s="257">
        <v>4.17</v>
      </c>
      <c r="C20" s="257">
        <v>6.16</v>
      </c>
      <c r="D20" s="257">
        <v>17.5</v>
      </c>
      <c r="E20" s="257">
        <v>24.5</v>
      </c>
    </row>
    <row r="21" spans="1:5" ht="15.75">
      <c r="A21" s="249" t="s">
        <v>259</v>
      </c>
      <c r="B21" s="257">
        <v>0.12</v>
      </c>
      <c r="C21" s="257">
        <v>0.63</v>
      </c>
      <c r="D21" s="257">
        <v>3.85</v>
      </c>
      <c r="E21" s="257">
        <v>6.82</v>
      </c>
    </row>
    <row r="22" spans="1:5" ht="15.75">
      <c r="A22" s="249" t="s">
        <v>260</v>
      </c>
      <c r="B22" s="258">
        <v>0.44</v>
      </c>
      <c r="C22" s="258">
        <v>1.19</v>
      </c>
      <c r="D22" s="258">
        <v>7.0000000000000007E-2</v>
      </c>
      <c r="E22" s="258">
        <v>0.09</v>
      </c>
    </row>
    <row r="23" spans="1:5" ht="15.75">
      <c r="A23" s="245" t="s">
        <v>261</v>
      </c>
      <c r="B23" s="259">
        <f t="shared" ref="B23:E23" si="3">SUM(B18:B22)</f>
        <v>21.53</v>
      </c>
      <c r="C23" s="259">
        <f t="shared" si="3"/>
        <v>19.850000000000001</v>
      </c>
      <c r="D23" s="259">
        <f t="shared" si="3"/>
        <v>32.46</v>
      </c>
      <c r="E23" s="259">
        <f t="shared" si="3"/>
        <v>41.780000000000008</v>
      </c>
    </row>
    <row r="24" spans="1:5" ht="15" customHeight="1">
      <c r="A24" s="255"/>
      <c r="B24" s="255"/>
      <c r="C24" s="255"/>
      <c r="D24" s="255"/>
      <c r="E24" s="255"/>
    </row>
    <row r="25" spans="1:5" ht="15.75">
      <c r="A25" s="245" t="s">
        <v>262</v>
      </c>
      <c r="B25" s="259">
        <f t="shared" ref="B25:E25" si="4">B9-B23</f>
        <v>14.339999999999996</v>
      </c>
      <c r="C25" s="259">
        <f t="shared" si="4"/>
        <v>23.059999999999995</v>
      </c>
      <c r="D25" s="259">
        <f t="shared" si="4"/>
        <v>62.26</v>
      </c>
      <c r="E25" s="259">
        <f t="shared" si="4"/>
        <v>99.039999999999992</v>
      </c>
    </row>
    <row r="26" spans="1:5" ht="27">
      <c r="A26" s="260" t="s">
        <v>263</v>
      </c>
      <c r="B26" s="261">
        <f t="shared" ref="B26:E26" si="5">B25/B9</f>
        <v>0.39977697240033444</v>
      </c>
      <c r="C26" s="261">
        <f t="shared" si="5"/>
        <v>0.53740386856210665</v>
      </c>
      <c r="D26" s="261">
        <f t="shared" si="5"/>
        <v>0.6573057432432432</v>
      </c>
      <c r="E26" s="261">
        <f t="shared" si="5"/>
        <v>0.70330918903564832</v>
      </c>
    </row>
    <row r="27" spans="1:5" ht="15.75">
      <c r="A27" s="251" t="s">
        <v>264</v>
      </c>
      <c r="B27" s="262">
        <v>15.45</v>
      </c>
      <c r="C27" s="262">
        <v>10.47</v>
      </c>
      <c r="D27" s="262">
        <v>11.71</v>
      </c>
      <c r="E27" s="262">
        <v>12.53</v>
      </c>
    </row>
    <row r="28" spans="1:5" ht="15.75">
      <c r="A28" s="245" t="s">
        <v>265</v>
      </c>
      <c r="B28" s="254">
        <f t="shared" ref="B28:E28" si="6">B15-B23-B27</f>
        <v>8.7399999999999984</v>
      </c>
      <c r="C28" s="254">
        <f t="shared" si="6"/>
        <v>20.499999999999993</v>
      </c>
      <c r="D28" s="254">
        <f t="shared" si="6"/>
        <v>56.619999999999983</v>
      </c>
      <c r="E28" s="254">
        <f t="shared" si="6"/>
        <v>90.75</v>
      </c>
    </row>
    <row r="29" spans="1:5" ht="15.75">
      <c r="A29" s="251" t="s">
        <v>266</v>
      </c>
      <c r="B29" s="257">
        <v>6.67</v>
      </c>
      <c r="C29" s="257">
        <v>6.54</v>
      </c>
      <c r="D29" s="257">
        <v>13.85</v>
      </c>
      <c r="E29" s="257">
        <v>29.35</v>
      </c>
    </row>
    <row r="30" spans="1:5" ht="27">
      <c r="A30" s="245" t="s">
        <v>267</v>
      </c>
      <c r="B30" s="254">
        <f t="shared" ref="B30:E30" si="7">B28-B29</f>
        <v>2.0699999999999985</v>
      </c>
      <c r="C30" s="254">
        <f t="shared" si="7"/>
        <v>13.959999999999994</v>
      </c>
      <c r="D30" s="254">
        <f t="shared" si="7"/>
        <v>42.769999999999982</v>
      </c>
      <c r="E30" s="254">
        <f t="shared" si="7"/>
        <v>61.4</v>
      </c>
    </row>
    <row r="31" spans="1:5" ht="15.75">
      <c r="A31" s="251" t="s">
        <v>268</v>
      </c>
      <c r="B31" s="250">
        <v>26.92</v>
      </c>
      <c r="C31" s="250">
        <v>21.86</v>
      </c>
      <c r="D31" s="250">
        <v>32.71</v>
      </c>
      <c r="E31" s="250">
        <v>42.09</v>
      </c>
    </row>
    <row r="32" spans="1:5" ht="27">
      <c r="A32" s="245" t="s">
        <v>269</v>
      </c>
      <c r="B32" s="263">
        <f t="shared" ref="B32:E32" si="8">B30-B31</f>
        <v>-24.85</v>
      </c>
      <c r="C32" s="263">
        <f t="shared" si="8"/>
        <v>-7.9000000000000057</v>
      </c>
      <c r="D32" s="263">
        <f t="shared" si="8"/>
        <v>10.059999999999981</v>
      </c>
      <c r="E32" s="263">
        <f t="shared" si="8"/>
        <v>19.309999999999995</v>
      </c>
    </row>
    <row r="33" spans="1:5" ht="16.5">
      <c r="A33" s="251" t="s">
        <v>270</v>
      </c>
      <c r="B33" s="264">
        <v>20.07</v>
      </c>
      <c r="C33" s="265"/>
      <c r="D33" s="265"/>
      <c r="E33" s="265"/>
    </row>
    <row r="34" spans="1:5" ht="15.75">
      <c r="A34" s="245" t="s">
        <v>271</v>
      </c>
      <c r="B34" s="266">
        <f t="shared" ref="B34:E34" si="9">B32-B33</f>
        <v>-44.92</v>
      </c>
      <c r="C34" s="266">
        <f t="shared" si="9"/>
        <v>-7.9000000000000057</v>
      </c>
      <c r="D34" s="266">
        <f t="shared" si="9"/>
        <v>10.059999999999981</v>
      </c>
      <c r="E34" s="266">
        <f t="shared" si="9"/>
        <v>19.309999999999995</v>
      </c>
    </row>
    <row r="35" spans="1:5" ht="15.75">
      <c r="A35" s="260" t="s">
        <v>272</v>
      </c>
      <c r="B35" s="261">
        <f t="shared" ref="B35:E35" si="10">B34/B15</f>
        <v>-0.98250218722659677</v>
      </c>
      <c r="C35" s="261">
        <f t="shared" si="10"/>
        <v>-0.15545060999606466</v>
      </c>
      <c r="D35" s="261">
        <f t="shared" si="10"/>
        <v>9.9811489235042974E-2</v>
      </c>
      <c r="E35" s="261">
        <f t="shared" si="10"/>
        <v>0.1331173307596856</v>
      </c>
    </row>
    <row r="36" spans="1:5" ht="16.5">
      <c r="A36" s="267"/>
      <c r="B36" s="267"/>
      <c r="C36" s="267"/>
      <c r="D36" s="267"/>
      <c r="E36" s="267"/>
    </row>
    <row r="37" spans="1:5" ht="15.75">
      <c r="A37" s="249" t="s">
        <v>273</v>
      </c>
      <c r="B37" s="257">
        <v>260.42</v>
      </c>
      <c r="C37" s="257">
        <v>439.34</v>
      </c>
      <c r="D37" s="257">
        <v>449.38</v>
      </c>
      <c r="E37" s="257">
        <v>468.67</v>
      </c>
    </row>
    <row r="38" spans="1:5" ht="15.75">
      <c r="A38" s="249" t="s">
        <v>274</v>
      </c>
      <c r="B38" s="257">
        <v>363.7</v>
      </c>
      <c r="C38" s="257">
        <v>490.01</v>
      </c>
      <c r="D38" s="257">
        <v>812.01</v>
      </c>
      <c r="E38" s="257">
        <v>904.01</v>
      </c>
    </row>
    <row r="39" spans="1:5" ht="15.75">
      <c r="A39" s="249" t="s">
        <v>275</v>
      </c>
      <c r="B39" s="257">
        <v>56.03</v>
      </c>
      <c r="C39" s="257">
        <v>83.87</v>
      </c>
      <c r="D39" s="257">
        <v>244.68</v>
      </c>
      <c r="E39" s="257">
        <v>328.71</v>
      </c>
    </row>
    <row r="40" spans="1:5" ht="15.75">
      <c r="A40" s="249" t="s">
        <v>276</v>
      </c>
      <c r="B40" s="257">
        <v>68.459999999999994</v>
      </c>
      <c r="C40" s="257">
        <v>171.96</v>
      </c>
      <c r="D40" s="257">
        <v>52.85</v>
      </c>
      <c r="E40" s="257">
        <v>105.76</v>
      </c>
    </row>
    <row r="41" spans="1:5" ht="16.5">
      <c r="A41" s="267"/>
      <c r="B41" s="267"/>
      <c r="C41" s="255"/>
      <c r="D41" s="255"/>
      <c r="E41" s="255"/>
    </row>
    <row r="42" spans="1:5" ht="16.5">
      <c r="A42" s="249" t="s">
        <v>277</v>
      </c>
      <c r="B42" s="255"/>
      <c r="C42" s="268">
        <v>20.5</v>
      </c>
      <c r="D42" s="257">
        <v>56.6</v>
      </c>
      <c r="E42" s="257">
        <v>90.74</v>
      </c>
    </row>
    <row r="43" spans="1:5" ht="16.5">
      <c r="A43" s="249" t="s">
        <v>278</v>
      </c>
      <c r="B43" s="255"/>
      <c r="C43" s="268">
        <v>13.76</v>
      </c>
      <c r="D43" s="257">
        <v>14.21</v>
      </c>
      <c r="E43" s="257">
        <v>13.99</v>
      </c>
    </row>
    <row r="44" spans="1:5" ht="16.5">
      <c r="A44" s="249" t="s">
        <v>279</v>
      </c>
      <c r="B44" s="255"/>
      <c r="C44" s="268">
        <v>6.54</v>
      </c>
      <c r="D44" s="257">
        <v>13.85</v>
      </c>
      <c r="E44" s="257">
        <v>29.35</v>
      </c>
    </row>
    <row r="45" spans="1:5" ht="16.5">
      <c r="A45" s="249" t="s">
        <v>280</v>
      </c>
      <c r="B45" s="255"/>
      <c r="C45" s="268">
        <v>0.01</v>
      </c>
      <c r="D45" s="257">
        <v>0.02</v>
      </c>
      <c r="E45" s="257">
        <v>2.1000000000000001E-2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 summaryRight="0"/>
  </sheetPr>
  <dimension ref="A1:E49"/>
  <sheetViews>
    <sheetView workbookViewId="0">
      <selection sqref="A1:E1"/>
    </sheetView>
  </sheetViews>
  <sheetFormatPr defaultColWidth="11.25" defaultRowHeight="15" customHeight="1"/>
  <cols>
    <col min="1" max="1" width="33.25" customWidth="1"/>
  </cols>
  <sheetData>
    <row r="1" spans="1:5" ht="15.75">
      <c r="A1" s="332" t="s">
        <v>281</v>
      </c>
      <c r="B1" s="333"/>
      <c r="C1" s="333"/>
      <c r="D1" s="333"/>
      <c r="E1" s="333"/>
    </row>
    <row r="2" spans="1:5" ht="30">
      <c r="A2" s="269" t="s">
        <v>282</v>
      </c>
      <c r="B2" s="270" t="s">
        <v>283</v>
      </c>
      <c r="C2" s="271" t="s">
        <v>284</v>
      </c>
      <c r="D2" s="271" t="s">
        <v>285</v>
      </c>
      <c r="E2" s="271" t="s">
        <v>286</v>
      </c>
    </row>
    <row r="3" spans="1:5" ht="15" customHeight="1">
      <c r="A3" s="272" t="s">
        <v>287</v>
      </c>
      <c r="B3" s="273"/>
      <c r="C3" s="273"/>
      <c r="D3" s="273"/>
      <c r="E3" s="273"/>
    </row>
    <row r="4" spans="1:5" ht="15" customHeight="1">
      <c r="A4" s="272" t="s">
        <v>288</v>
      </c>
      <c r="B4" s="273"/>
      <c r="C4" s="273"/>
      <c r="D4" s="273"/>
      <c r="E4" s="273"/>
    </row>
    <row r="5" spans="1:5" ht="15.75">
      <c r="A5" s="274" t="s">
        <v>289</v>
      </c>
      <c r="B5" s="275">
        <v>206.2</v>
      </c>
      <c r="C5" s="275">
        <v>312.7423</v>
      </c>
      <c r="D5" s="275">
        <v>603.94309999999996</v>
      </c>
      <c r="E5" s="275">
        <v>654.90250000000003</v>
      </c>
    </row>
    <row r="6" spans="1:5" ht="15.75">
      <c r="A6" s="274" t="s">
        <v>290</v>
      </c>
      <c r="B6" s="275">
        <v>23.66</v>
      </c>
      <c r="C6" s="275">
        <v>12.4217</v>
      </c>
      <c r="D6" s="275">
        <v>24.296500000000002</v>
      </c>
      <c r="E6" s="275">
        <v>15.8749</v>
      </c>
    </row>
    <row r="7" spans="1:5" ht="15.75">
      <c r="A7" s="274" t="s">
        <v>291</v>
      </c>
      <c r="B7" s="275">
        <v>11.36</v>
      </c>
      <c r="C7" s="275">
        <v>10.3086</v>
      </c>
      <c r="D7" s="276">
        <v>9.2560000000000002</v>
      </c>
      <c r="E7" s="276">
        <v>8.2034000000000002</v>
      </c>
    </row>
    <row r="8" spans="1:5" ht="15.75">
      <c r="A8" s="274" t="s">
        <v>292</v>
      </c>
      <c r="B8" s="276">
        <v>1.73</v>
      </c>
      <c r="C8" s="276">
        <v>0.87150000000000005</v>
      </c>
      <c r="D8" s="276">
        <v>1.3299999999999999E-2</v>
      </c>
      <c r="E8" s="276">
        <v>1.3299999999999999E-2</v>
      </c>
    </row>
    <row r="9" spans="1:5" ht="15" customHeight="1">
      <c r="A9" s="272" t="s">
        <v>293</v>
      </c>
      <c r="B9" s="273"/>
      <c r="C9" s="273"/>
      <c r="D9" s="273"/>
      <c r="E9" s="273"/>
    </row>
    <row r="10" spans="1:5" ht="15.75">
      <c r="A10" s="274" t="s">
        <v>294</v>
      </c>
      <c r="B10" s="276">
        <v>4.8</v>
      </c>
      <c r="C10" s="276">
        <v>4.7954999999999997</v>
      </c>
      <c r="D10" s="276">
        <v>4.7954999999999997</v>
      </c>
      <c r="E10" s="276">
        <v>4.7954999999999997</v>
      </c>
    </row>
    <row r="11" spans="1:5" ht="15.75">
      <c r="A11" s="274" t="s">
        <v>295</v>
      </c>
      <c r="B11" s="276">
        <v>7.67</v>
      </c>
      <c r="C11" s="276">
        <v>0.24299999999999999</v>
      </c>
      <c r="D11" s="276">
        <v>0.45400000000000001</v>
      </c>
      <c r="E11" s="276">
        <v>0.154</v>
      </c>
    </row>
    <row r="12" spans="1:5" ht="15.75">
      <c r="A12" s="274" t="s">
        <v>296</v>
      </c>
      <c r="B12" s="276">
        <v>1.92</v>
      </c>
      <c r="C12" s="276">
        <v>0.4632</v>
      </c>
      <c r="D12" s="276">
        <v>1.4514</v>
      </c>
      <c r="E12" s="276">
        <v>2.2968999999999999</v>
      </c>
    </row>
    <row r="13" spans="1:5" ht="15.75">
      <c r="A13" s="272" t="s">
        <v>297</v>
      </c>
      <c r="B13" s="277">
        <f t="shared" ref="B13:E13" si="0">SUM(B5:B12)</f>
        <v>257.33999999999997</v>
      </c>
      <c r="C13" s="277">
        <f t="shared" si="0"/>
        <v>341.8458</v>
      </c>
      <c r="D13" s="277">
        <f t="shared" si="0"/>
        <v>644.20979999999986</v>
      </c>
      <c r="E13" s="277">
        <f t="shared" si="0"/>
        <v>686.2405</v>
      </c>
    </row>
    <row r="14" spans="1:5" ht="15" customHeight="1">
      <c r="A14" s="272" t="s">
        <v>298</v>
      </c>
      <c r="B14" s="273"/>
      <c r="C14" s="273"/>
      <c r="D14" s="273"/>
      <c r="E14" s="273"/>
    </row>
    <row r="15" spans="1:5" ht="15.75">
      <c r="A15" s="274" t="s">
        <v>299</v>
      </c>
      <c r="B15" s="276">
        <v>1.75</v>
      </c>
      <c r="C15" s="276">
        <v>0.63880000000000003</v>
      </c>
      <c r="D15" s="276">
        <v>0.70509999999999995</v>
      </c>
      <c r="E15" s="276">
        <v>0.75470000000000004</v>
      </c>
    </row>
    <row r="16" spans="1:5" ht="15" customHeight="1">
      <c r="A16" s="274" t="s">
        <v>300</v>
      </c>
      <c r="B16" s="273"/>
      <c r="C16" s="273"/>
      <c r="D16" s="273"/>
      <c r="E16" s="273"/>
    </row>
    <row r="17" spans="1:5" ht="15" customHeight="1">
      <c r="A17" s="274" t="s">
        <v>301</v>
      </c>
      <c r="B17" s="273">
        <v>3.62</v>
      </c>
      <c r="C17" s="276">
        <v>2.7479</v>
      </c>
      <c r="D17" s="276">
        <v>5.9146999999999998</v>
      </c>
      <c r="E17" s="275">
        <v>10.0337</v>
      </c>
    </row>
    <row r="18" spans="1:5" ht="15.75">
      <c r="A18" s="274" t="s">
        <v>302</v>
      </c>
      <c r="B18" s="275">
        <f>54.2+7.49</f>
        <v>61.690000000000005</v>
      </c>
      <c r="C18" s="275">
        <v>153.76429999999999</v>
      </c>
      <c r="D18" s="275">
        <v>52.852699999999999</v>
      </c>
      <c r="E18" s="275">
        <v>105.7604</v>
      </c>
    </row>
    <row r="19" spans="1:5" ht="15.75">
      <c r="A19" s="274" t="s">
        <v>303</v>
      </c>
      <c r="B19" s="276">
        <v>0.18</v>
      </c>
      <c r="C19" s="276">
        <v>0.23880000000000001</v>
      </c>
      <c r="D19" s="276">
        <v>0.27079999999999999</v>
      </c>
      <c r="E19" s="276">
        <v>0.28310000000000002</v>
      </c>
    </row>
    <row r="20" spans="1:5" ht="15.75">
      <c r="A20" s="274" t="s">
        <v>304</v>
      </c>
      <c r="B20" s="275">
        <v>22.49</v>
      </c>
      <c r="C20" s="275">
        <v>21.690799999999999</v>
      </c>
      <c r="D20" s="275">
        <v>21.811299999999999</v>
      </c>
      <c r="E20" s="275">
        <v>21.892600000000002</v>
      </c>
    </row>
    <row r="21" spans="1:5" ht="15.75">
      <c r="A21" s="272" t="s">
        <v>305</v>
      </c>
      <c r="B21" s="277">
        <f t="shared" ref="B21:E21" si="1">SUM(B14:B20)</f>
        <v>89.73</v>
      </c>
      <c r="C21" s="277">
        <f t="shared" si="1"/>
        <v>179.08059999999998</v>
      </c>
      <c r="D21" s="277">
        <f t="shared" si="1"/>
        <v>81.554599999999994</v>
      </c>
      <c r="E21" s="277">
        <f t="shared" si="1"/>
        <v>138.72450000000001</v>
      </c>
    </row>
    <row r="22" spans="1:5" ht="15.75">
      <c r="A22" s="272" t="s">
        <v>306</v>
      </c>
      <c r="B22" s="277">
        <f t="shared" ref="B22:E22" si="2">B21+B13</f>
        <v>347.07</v>
      </c>
      <c r="C22" s="277">
        <f t="shared" si="2"/>
        <v>520.92639999999994</v>
      </c>
      <c r="D22" s="277">
        <f t="shared" si="2"/>
        <v>725.7643999999998</v>
      </c>
      <c r="E22" s="277">
        <f t="shared" si="2"/>
        <v>824.96500000000003</v>
      </c>
    </row>
    <row r="23" spans="1:5" ht="15" customHeight="1">
      <c r="A23" s="278" t="s">
        <v>307</v>
      </c>
      <c r="B23" s="273"/>
      <c r="C23" s="273"/>
      <c r="D23" s="273"/>
      <c r="E23" s="273"/>
    </row>
    <row r="24" spans="1:5" ht="15" customHeight="1">
      <c r="A24" s="272" t="s">
        <v>308</v>
      </c>
      <c r="B24" s="273"/>
      <c r="C24" s="273"/>
      <c r="D24" s="273"/>
      <c r="E24" s="273"/>
    </row>
    <row r="25" spans="1:5" ht="15.75">
      <c r="A25" s="274" t="s">
        <v>309</v>
      </c>
      <c r="B25" s="276">
        <v>1.19</v>
      </c>
      <c r="C25" s="276">
        <v>1.1904999999999999</v>
      </c>
      <c r="D25" s="276">
        <v>1.1904999999999999</v>
      </c>
      <c r="E25" s="276">
        <v>1.1904999999999999</v>
      </c>
    </row>
    <row r="26" spans="1:5" ht="15.75">
      <c r="A26" s="274" t="s">
        <v>310</v>
      </c>
      <c r="B26" s="276">
        <v>0.13009999999999999</v>
      </c>
      <c r="C26" s="276">
        <v>0.13009999999999999</v>
      </c>
      <c r="D26" s="276">
        <v>0.13009999999999999</v>
      </c>
      <c r="E26" s="276">
        <v>0.13009999999999999</v>
      </c>
    </row>
    <row r="27" spans="1:5" ht="15.75">
      <c r="A27" s="274" t="s">
        <v>311</v>
      </c>
      <c r="B27" s="275">
        <v>259.10000000000002</v>
      </c>
      <c r="C27" s="275">
        <v>437.82139999999998</v>
      </c>
      <c r="D27" s="275">
        <v>447.8639</v>
      </c>
      <c r="E27" s="275">
        <v>467.1533</v>
      </c>
    </row>
    <row r="28" spans="1:5" ht="15.75">
      <c r="A28" s="272" t="s">
        <v>312</v>
      </c>
      <c r="B28" s="277">
        <f t="shared" ref="B28:E28" si="3">SUM(B23:B27)</f>
        <v>260.42010000000005</v>
      </c>
      <c r="C28" s="277">
        <f t="shared" si="3"/>
        <v>439.142</v>
      </c>
      <c r="D28" s="277">
        <f t="shared" si="3"/>
        <v>449.18450000000001</v>
      </c>
      <c r="E28" s="277">
        <f t="shared" si="3"/>
        <v>468.47390000000001</v>
      </c>
    </row>
    <row r="29" spans="1:5" ht="16.5">
      <c r="A29" s="278" t="s">
        <v>313</v>
      </c>
      <c r="B29" s="273"/>
      <c r="C29" s="273"/>
      <c r="D29" s="273"/>
      <c r="E29" s="273"/>
    </row>
    <row r="30" spans="1:5" ht="16.5">
      <c r="A30" s="272" t="s">
        <v>314</v>
      </c>
      <c r="B30" s="273"/>
      <c r="C30" s="273"/>
      <c r="D30" s="273"/>
      <c r="E30" s="273"/>
    </row>
    <row r="31" spans="1:5" ht="15.75">
      <c r="A31" s="274" t="s">
        <v>315</v>
      </c>
      <c r="B31" s="275">
        <v>39.65</v>
      </c>
      <c r="C31" s="275">
        <v>34.654299999999999</v>
      </c>
      <c r="D31" s="275">
        <v>230.69030000000001</v>
      </c>
      <c r="E31" s="275">
        <v>312.43819999999999</v>
      </c>
    </row>
    <row r="32" spans="1:5" ht="15.75">
      <c r="A32" s="274" t="s">
        <v>316</v>
      </c>
      <c r="B32" s="275">
        <v>13.68</v>
      </c>
      <c r="C32" s="275">
        <v>12.9879</v>
      </c>
      <c r="D32" s="275">
        <v>12.174200000000001</v>
      </c>
      <c r="E32" s="275">
        <v>11.230399999999999</v>
      </c>
    </row>
    <row r="33" spans="1:5" ht="15.75">
      <c r="A33" s="274" t="s">
        <v>317</v>
      </c>
      <c r="B33" s="276">
        <v>0.31</v>
      </c>
      <c r="C33" s="276">
        <v>0.35580000000000001</v>
      </c>
      <c r="D33" s="276">
        <v>0.38779999999999998</v>
      </c>
      <c r="E33" s="276">
        <v>0.36780000000000002</v>
      </c>
    </row>
    <row r="34" spans="1:5" ht="15.75">
      <c r="A34" s="274" t="s">
        <v>318</v>
      </c>
      <c r="B34" s="276">
        <v>0.78</v>
      </c>
      <c r="C34" s="276">
        <v>0.96760000000000002</v>
      </c>
      <c r="D34" s="276">
        <v>1.0247999999999999</v>
      </c>
      <c r="E34" s="276">
        <v>1.0902000000000001</v>
      </c>
    </row>
    <row r="35" spans="1:5" ht="15.75">
      <c r="A35" s="274" t="s">
        <v>319</v>
      </c>
      <c r="B35" s="276">
        <v>3.22</v>
      </c>
      <c r="C35" s="276">
        <v>2.5669</v>
      </c>
      <c r="D35" s="276">
        <v>2.0804</v>
      </c>
      <c r="E35" s="276">
        <v>1.7576000000000001</v>
      </c>
    </row>
    <row r="36" spans="1:5" ht="15.75">
      <c r="A36" s="272" t="s">
        <v>320</v>
      </c>
      <c r="B36" s="277">
        <f t="shared" ref="B36:E36" si="4">SUM(B29:B35)</f>
        <v>57.64</v>
      </c>
      <c r="C36" s="277">
        <f t="shared" si="4"/>
        <v>51.532499999999999</v>
      </c>
      <c r="D36" s="277">
        <f t="shared" si="4"/>
        <v>246.35750000000002</v>
      </c>
      <c r="E36" s="277">
        <f t="shared" si="4"/>
        <v>326.88419999999996</v>
      </c>
    </row>
    <row r="37" spans="1:5" ht="16.5">
      <c r="A37" s="272" t="s">
        <v>321</v>
      </c>
      <c r="B37" s="273"/>
      <c r="C37" s="273"/>
      <c r="D37" s="273"/>
      <c r="E37" s="273"/>
    </row>
    <row r="38" spans="1:5" ht="16.5">
      <c r="A38" s="274" t="s">
        <v>322</v>
      </c>
      <c r="B38" s="273"/>
      <c r="C38" s="273"/>
      <c r="D38" s="273"/>
      <c r="E38" s="273"/>
    </row>
    <row r="39" spans="1:5" ht="15.75">
      <c r="A39" s="274" t="s">
        <v>323</v>
      </c>
      <c r="B39" s="275">
        <v>16.38</v>
      </c>
      <c r="C39" s="275">
        <v>14.2136</v>
      </c>
      <c r="D39" s="275">
        <v>13.9885</v>
      </c>
      <c r="E39" s="275">
        <v>16.270499999999998</v>
      </c>
    </row>
    <row r="40" spans="1:5" ht="15.75">
      <c r="A40" s="274" t="s">
        <v>324</v>
      </c>
      <c r="B40" s="276">
        <v>0.6</v>
      </c>
      <c r="C40" s="276">
        <v>0.68079999999999996</v>
      </c>
      <c r="D40" s="276">
        <v>0.81369999999999998</v>
      </c>
      <c r="E40" s="276">
        <v>0.94369999999999998</v>
      </c>
    </row>
    <row r="41" spans="1:5" ht="16.5">
      <c r="A41" s="274" t="s">
        <v>325</v>
      </c>
      <c r="B41" s="273"/>
      <c r="C41" s="273"/>
      <c r="D41" s="273"/>
      <c r="E41" s="273"/>
    </row>
    <row r="42" spans="1:5" ht="30">
      <c r="A42" s="274" t="s">
        <v>326</v>
      </c>
      <c r="B42" s="273">
        <v>0.54</v>
      </c>
      <c r="C42" s="276">
        <v>0</v>
      </c>
      <c r="D42" s="276">
        <v>0</v>
      </c>
      <c r="E42" s="276">
        <v>0</v>
      </c>
    </row>
    <row r="43" spans="1:5" ht="45">
      <c r="A43" s="274" t="s">
        <v>327</v>
      </c>
      <c r="B43" s="273">
        <v>2.5</v>
      </c>
      <c r="C43" s="276">
        <v>2.2706</v>
      </c>
      <c r="D43" s="276">
        <v>4.3414999999999999</v>
      </c>
      <c r="E43" s="276">
        <v>7.4250999999999996</v>
      </c>
    </row>
    <row r="44" spans="1:5" ht="15.75">
      <c r="A44" s="274" t="s">
        <v>328</v>
      </c>
      <c r="B44" s="276">
        <v>3.34</v>
      </c>
      <c r="C44" s="276">
        <v>8.1297999999999995</v>
      </c>
      <c r="D44" s="276">
        <v>6.1298000000000004</v>
      </c>
      <c r="E44" s="276">
        <v>0.1298</v>
      </c>
    </row>
    <row r="45" spans="1:5" ht="15.75">
      <c r="A45" s="274" t="s">
        <v>329</v>
      </c>
      <c r="B45" s="276">
        <v>2.98</v>
      </c>
      <c r="C45" s="276">
        <v>1.6843999999999999</v>
      </c>
      <c r="D45" s="276">
        <v>1.6308</v>
      </c>
      <c r="E45" s="276">
        <v>1.4872000000000001</v>
      </c>
    </row>
    <row r="46" spans="1:5" ht="15.75">
      <c r="A46" s="274" t="s">
        <v>330</v>
      </c>
      <c r="B46" s="276">
        <v>2.67</v>
      </c>
      <c r="C46" s="276">
        <v>3.2728000000000002</v>
      </c>
      <c r="D46" s="276">
        <v>3.3180999999999998</v>
      </c>
      <c r="E46" s="276">
        <v>3.3504999999999998</v>
      </c>
    </row>
    <row r="47" spans="1:5" ht="15.75">
      <c r="A47" s="272" t="s">
        <v>331</v>
      </c>
      <c r="B47" s="277">
        <f t="shared" ref="B47:E47" si="5">SUM(B37:B46)</f>
        <v>29.009999999999998</v>
      </c>
      <c r="C47" s="277">
        <f t="shared" si="5"/>
        <v>30.251999999999999</v>
      </c>
      <c r="D47" s="277">
        <f t="shared" si="5"/>
        <v>30.222400000000004</v>
      </c>
      <c r="E47" s="277">
        <f t="shared" si="5"/>
        <v>29.6068</v>
      </c>
    </row>
    <row r="48" spans="1:5" ht="15.75">
      <c r="A48" s="272" t="s">
        <v>332</v>
      </c>
      <c r="B48" s="277">
        <f t="shared" ref="B48:C48" si="6">B47+B36</f>
        <v>86.65</v>
      </c>
      <c r="C48" s="277">
        <f t="shared" si="6"/>
        <v>81.784499999999994</v>
      </c>
      <c r="D48" s="277">
        <v>276.58</v>
      </c>
      <c r="E48" s="277">
        <v>356.49110000000002</v>
      </c>
    </row>
    <row r="49" spans="1:5" ht="15.75">
      <c r="A49" s="272" t="s">
        <v>333</v>
      </c>
      <c r="B49" s="277">
        <f t="shared" ref="B49:E49" si="7">B48+B28</f>
        <v>347.07010000000002</v>
      </c>
      <c r="C49" s="277">
        <f t="shared" si="7"/>
        <v>520.92650000000003</v>
      </c>
      <c r="D49" s="277">
        <f t="shared" si="7"/>
        <v>725.7645</v>
      </c>
      <c r="E49" s="277">
        <f t="shared" si="7"/>
        <v>824.96500000000003</v>
      </c>
    </row>
  </sheetData>
  <mergeCells count="1">
    <mergeCell ref="A1:E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 summaryRight="0"/>
  </sheetPr>
  <dimension ref="A1:H65"/>
  <sheetViews>
    <sheetView workbookViewId="0">
      <selection activeCell="A2" sqref="A2"/>
    </sheetView>
  </sheetViews>
  <sheetFormatPr defaultColWidth="11.25" defaultRowHeight="15" customHeight="1"/>
  <cols>
    <col min="1" max="1" width="39.875" bestFit="1" customWidth="1"/>
    <col min="2" max="2" width="11.875" bestFit="1" customWidth="1"/>
    <col min="3" max="3" width="15.375" bestFit="1" customWidth="1"/>
    <col min="4" max="4" width="12.625" bestFit="1" customWidth="1"/>
    <col min="5" max="6" width="11.875" bestFit="1" customWidth="1"/>
    <col min="7" max="8" width="7" bestFit="1" customWidth="1"/>
  </cols>
  <sheetData>
    <row r="1" spans="1:8" ht="15" customHeight="1">
      <c r="A1" s="279" t="s">
        <v>334</v>
      </c>
      <c r="B1" s="280" t="s">
        <v>335</v>
      </c>
      <c r="C1" s="281" t="s">
        <v>336</v>
      </c>
      <c r="D1" s="282" t="s">
        <v>337</v>
      </c>
      <c r="E1" s="283"/>
      <c r="F1" s="283"/>
      <c r="G1" s="283"/>
      <c r="H1" s="283"/>
    </row>
    <row r="2" spans="1:8" ht="15" customHeight="1">
      <c r="A2" s="284" t="s">
        <v>338</v>
      </c>
      <c r="B2" s="285" t="s">
        <v>232</v>
      </c>
      <c r="C2" s="286">
        <v>21.47</v>
      </c>
      <c r="D2" s="286">
        <v>10.73</v>
      </c>
      <c r="E2" s="283"/>
      <c r="F2" s="283"/>
      <c r="G2" s="283"/>
      <c r="H2" s="283"/>
    </row>
    <row r="3" spans="1:8" ht="15" customHeight="1">
      <c r="A3" s="284" t="s">
        <v>339</v>
      </c>
      <c r="B3" s="285" t="s">
        <v>335</v>
      </c>
      <c r="C3" s="286" t="s">
        <v>340</v>
      </c>
      <c r="D3" s="286" t="s">
        <v>341</v>
      </c>
      <c r="E3" s="283"/>
      <c r="F3" s="283"/>
      <c r="G3" s="283"/>
      <c r="H3" s="283"/>
    </row>
    <row r="4" spans="1:8" ht="15" customHeight="1">
      <c r="A4" s="284" t="s">
        <v>342</v>
      </c>
      <c r="B4" s="285" t="s">
        <v>335</v>
      </c>
      <c r="C4" s="286" t="s">
        <v>343</v>
      </c>
      <c r="D4" s="286" t="s">
        <v>344</v>
      </c>
      <c r="E4" s="283"/>
      <c r="F4" s="283"/>
      <c r="G4" s="283"/>
      <c r="H4" s="283"/>
    </row>
    <row r="5" spans="1:8" ht="15" customHeight="1">
      <c r="A5" s="284" t="s">
        <v>345</v>
      </c>
      <c r="B5" s="285" t="s">
        <v>335</v>
      </c>
      <c r="C5" s="286" t="s">
        <v>346</v>
      </c>
      <c r="D5" s="286" t="s">
        <v>347</v>
      </c>
      <c r="E5" s="283"/>
      <c r="F5" s="283"/>
      <c r="G5" s="283"/>
      <c r="H5" s="283"/>
    </row>
    <row r="6" spans="1:8" ht="15" customHeight="1">
      <c r="A6" s="287" t="s">
        <v>348</v>
      </c>
      <c r="B6" s="285" t="s">
        <v>349</v>
      </c>
      <c r="C6" s="286" t="s">
        <v>350</v>
      </c>
      <c r="D6" s="286" t="s">
        <v>351</v>
      </c>
      <c r="E6" s="283"/>
      <c r="F6" s="283"/>
      <c r="G6" s="283"/>
      <c r="H6" s="283"/>
    </row>
    <row r="7" spans="1:8" ht="15" customHeight="1">
      <c r="A7" s="287" t="s">
        <v>352</v>
      </c>
      <c r="B7" s="285" t="s">
        <v>353</v>
      </c>
      <c r="C7" s="286">
        <v>89.84</v>
      </c>
      <c r="D7" s="286">
        <v>88.13</v>
      </c>
      <c r="E7" s="283"/>
      <c r="F7" s="283"/>
      <c r="G7" s="283"/>
      <c r="H7" s="283"/>
    </row>
    <row r="8" spans="1:8" ht="15" customHeight="1">
      <c r="A8" s="287" t="s">
        <v>354</v>
      </c>
      <c r="B8" s="285" t="s">
        <v>232</v>
      </c>
      <c r="C8" s="286">
        <v>14.07</v>
      </c>
      <c r="D8" s="286">
        <v>6.19</v>
      </c>
      <c r="E8" s="283"/>
      <c r="F8" s="283"/>
      <c r="G8" s="283"/>
      <c r="H8" s="283"/>
    </row>
    <row r="9" spans="1:8" ht="15" customHeight="1">
      <c r="A9" s="284" t="s">
        <v>355</v>
      </c>
      <c r="B9" s="288"/>
      <c r="C9" s="289">
        <v>0.46</v>
      </c>
      <c r="D9" s="289">
        <v>0.3</v>
      </c>
      <c r="E9" s="283"/>
      <c r="F9" s="283"/>
      <c r="G9" s="283"/>
      <c r="H9" s="283"/>
    </row>
    <row r="10" spans="1:8" ht="15" customHeight="1">
      <c r="A10" s="284" t="s">
        <v>356</v>
      </c>
      <c r="B10" s="288"/>
      <c r="C10" s="289">
        <v>1.06</v>
      </c>
      <c r="D10" s="289">
        <v>1.1599999999999999</v>
      </c>
      <c r="E10" s="283"/>
      <c r="F10" s="283"/>
      <c r="G10" s="283"/>
      <c r="H10" s="283"/>
    </row>
    <row r="11" spans="1:8" ht="15" customHeight="1">
      <c r="A11" s="283"/>
      <c r="B11" s="283"/>
      <c r="C11" s="290"/>
      <c r="D11" s="290"/>
      <c r="E11" s="283"/>
      <c r="F11" s="283"/>
      <c r="G11" s="283"/>
      <c r="H11" s="283"/>
    </row>
    <row r="12" spans="1:8" ht="15" customHeight="1">
      <c r="A12" s="283"/>
      <c r="B12" s="283"/>
      <c r="C12" s="290"/>
      <c r="D12" s="290"/>
      <c r="E12" s="283"/>
      <c r="F12" s="283"/>
      <c r="G12" s="283"/>
      <c r="H12" s="283"/>
    </row>
    <row r="13" spans="1:8" ht="15" customHeight="1">
      <c r="A13" s="283"/>
      <c r="B13" s="283"/>
      <c r="C13" s="290"/>
      <c r="D13" s="290"/>
      <c r="E13" s="283"/>
      <c r="F13" s="283"/>
      <c r="G13" s="283"/>
      <c r="H13" s="283"/>
    </row>
    <row r="14" spans="1:8" ht="15" customHeight="1">
      <c r="A14" s="291" t="s">
        <v>357</v>
      </c>
      <c r="B14" s="283"/>
      <c r="C14" s="290"/>
      <c r="D14" s="290"/>
      <c r="E14" s="283"/>
      <c r="F14" s="283"/>
      <c r="G14" s="283"/>
      <c r="H14" s="283"/>
    </row>
    <row r="15" spans="1:8" ht="15" customHeight="1">
      <c r="A15" s="292"/>
      <c r="B15" s="283"/>
      <c r="C15" s="290"/>
      <c r="D15" s="290"/>
      <c r="E15" s="283"/>
      <c r="F15" s="283"/>
      <c r="G15" s="283"/>
      <c r="H15" s="283"/>
    </row>
    <row r="16" spans="1:8" ht="15" customHeight="1">
      <c r="A16" s="293" t="s">
        <v>358</v>
      </c>
      <c r="B16" s="283"/>
      <c r="C16" s="290"/>
      <c r="D16" s="290"/>
      <c r="E16" s="283"/>
      <c r="F16" s="283"/>
      <c r="G16" s="283"/>
      <c r="H16" s="283"/>
    </row>
    <row r="17" spans="1:8" ht="15" customHeight="1">
      <c r="A17" s="334" t="s">
        <v>359</v>
      </c>
      <c r="B17" s="335" t="s">
        <v>360</v>
      </c>
      <c r="C17" s="336"/>
      <c r="D17" s="335" t="s">
        <v>361</v>
      </c>
      <c r="E17" s="333"/>
      <c r="F17" s="336"/>
      <c r="G17" s="283"/>
      <c r="H17" s="283"/>
    </row>
    <row r="18" spans="1:8" ht="15" customHeight="1">
      <c r="A18" s="329"/>
      <c r="B18" s="294">
        <v>45382</v>
      </c>
      <c r="C18" s="294">
        <v>45565</v>
      </c>
      <c r="D18" s="294">
        <v>45747</v>
      </c>
      <c r="E18" s="294">
        <v>46112</v>
      </c>
      <c r="F18" s="294">
        <v>46477</v>
      </c>
      <c r="G18" s="283"/>
      <c r="H18" s="283"/>
    </row>
    <row r="19" spans="1:8" ht="15" customHeight="1">
      <c r="A19" s="295" t="s">
        <v>335</v>
      </c>
      <c r="B19" s="295" t="s">
        <v>362</v>
      </c>
      <c r="C19" s="295" t="s">
        <v>362</v>
      </c>
      <c r="D19" s="295" t="s">
        <v>362</v>
      </c>
      <c r="E19" s="295" t="s">
        <v>362</v>
      </c>
      <c r="F19" s="295" t="s">
        <v>362</v>
      </c>
      <c r="G19" s="283"/>
      <c r="H19" s="283"/>
    </row>
    <row r="20" spans="1:8" ht="15" customHeight="1">
      <c r="A20" s="296" t="s">
        <v>363</v>
      </c>
      <c r="B20" s="296">
        <v>8.8699999999999992</v>
      </c>
      <c r="C20" s="296">
        <v>9.06</v>
      </c>
      <c r="D20" s="296">
        <v>9.06</v>
      </c>
      <c r="E20" s="296">
        <v>9.06</v>
      </c>
      <c r="F20" s="296">
        <v>9.06</v>
      </c>
      <c r="G20" s="283"/>
      <c r="H20" s="283"/>
    </row>
    <row r="21" spans="1:8" ht="15" customHeight="1">
      <c r="A21" s="296" t="s">
        <v>364</v>
      </c>
      <c r="B21" s="296">
        <v>3.03</v>
      </c>
      <c r="C21" s="296">
        <v>2.68</v>
      </c>
      <c r="D21" s="296">
        <v>2.68</v>
      </c>
      <c r="E21" s="296">
        <v>2.68</v>
      </c>
      <c r="F21" s="296">
        <v>2.68</v>
      </c>
      <c r="G21" s="283"/>
      <c r="H21" s="283"/>
    </row>
    <row r="22" spans="1:8" ht="15" customHeight="1">
      <c r="A22" s="296" t="s">
        <v>365</v>
      </c>
      <c r="B22" s="296">
        <v>0.91</v>
      </c>
      <c r="C22" s="296">
        <v>0.85</v>
      </c>
      <c r="D22" s="296">
        <v>0.85</v>
      </c>
      <c r="E22" s="296">
        <v>0.85</v>
      </c>
      <c r="F22" s="296">
        <v>0.85</v>
      </c>
      <c r="G22" s="283"/>
      <c r="H22" s="283"/>
    </row>
    <row r="23" spans="1:8" ht="15" customHeight="1">
      <c r="A23" s="296" t="s">
        <v>366</v>
      </c>
      <c r="B23" s="296">
        <v>10.06</v>
      </c>
      <c r="C23" s="296">
        <v>11.06</v>
      </c>
      <c r="D23" s="296">
        <v>31.06</v>
      </c>
      <c r="E23" s="296">
        <v>101.06</v>
      </c>
      <c r="F23" s="296">
        <v>121.06</v>
      </c>
      <c r="G23" s="283"/>
      <c r="H23" s="283"/>
    </row>
    <row r="24" spans="1:8" ht="15" customHeight="1">
      <c r="A24" s="295" t="s">
        <v>64</v>
      </c>
      <c r="B24" s="295">
        <v>22.87</v>
      </c>
      <c r="C24" s="295">
        <v>23.65</v>
      </c>
      <c r="D24" s="295">
        <v>43.65</v>
      </c>
      <c r="E24" s="295">
        <v>113.65</v>
      </c>
      <c r="F24" s="295">
        <v>133.65</v>
      </c>
      <c r="G24" s="283"/>
      <c r="H24" s="283"/>
    </row>
    <row r="25" spans="1:8" ht="15" customHeight="1">
      <c r="A25" s="297"/>
      <c r="B25" s="283"/>
      <c r="C25" s="290"/>
      <c r="D25" s="290"/>
      <c r="E25" s="283"/>
      <c r="F25" s="283"/>
      <c r="G25" s="283"/>
      <c r="H25" s="283"/>
    </row>
    <row r="26" spans="1:8" ht="15" customHeight="1">
      <c r="A26" s="298" t="s">
        <v>367</v>
      </c>
      <c r="B26" s="283"/>
      <c r="C26" s="290"/>
      <c r="D26" s="290"/>
      <c r="E26" s="283"/>
      <c r="F26" s="283"/>
      <c r="G26" s="283"/>
      <c r="H26" s="283"/>
    </row>
    <row r="27" spans="1:8" ht="15" customHeight="1">
      <c r="A27" s="334" t="s">
        <v>359</v>
      </c>
      <c r="B27" s="334" t="s">
        <v>368</v>
      </c>
      <c r="C27" s="334" t="s">
        <v>369</v>
      </c>
      <c r="D27" s="334" t="s">
        <v>370</v>
      </c>
      <c r="E27" s="334" t="s">
        <v>371</v>
      </c>
      <c r="F27" s="283"/>
      <c r="G27" s="283"/>
      <c r="H27" s="283"/>
    </row>
    <row r="28" spans="1:8" ht="17.25">
      <c r="A28" s="329"/>
      <c r="B28" s="329"/>
      <c r="C28" s="329"/>
      <c r="D28" s="329"/>
      <c r="E28" s="329"/>
      <c r="F28" s="283"/>
      <c r="G28" s="283"/>
      <c r="H28" s="283"/>
    </row>
    <row r="29" spans="1:8" ht="17.25">
      <c r="A29" s="295" t="s">
        <v>335</v>
      </c>
      <c r="B29" s="299"/>
      <c r="C29" s="295" t="s">
        <v>372</v>
      </c>
      <c r="D29" s="295" t="s">
        <v>373</v>
      </c>
      <c r="E29" s="295" t="s">
        <v>374</v>
      </c>
      <c r="F29" s="283"/>
      <c r="G29" s="283"/>
      <c r="H29" s="283"/>
    </row>
    <row r="30" spans="1:8" ht="17.25">
      <c r="A30" s="296" t="s">
        <v>363</v>
      </c>
      <c r="B30" s="296">
        <v>303</v>
      </c>
      <c r="C30" s="300">
        <v>8868.5</v>
      </c>
      <c r="D30" s="296">
        <v>28.76</v>
      </c>
      <c r="E30" s="300">
        <v>8815</v>
      </c>
      <c r="F30" s="283"/>
      <c r="G30" s="283"/>
      <c r="H30" s="283"/>
    </row>
    <row r="31" spans="1:8" ht="17.25">
      <c r="A31" s="301" t="s">
        <v>375</v>
      </c>
      <c r="B31" s="296"/>
      <c r="C31" s="301">
        <v>29.27</v>
      </c>
      <c r="D31" s="301">
        <v>0.09</v>
      </c>
      <c r="E31" s="301">
        <v>29.09</v>
      </c>
      <c r="F31" s="283"/>
      <c r="G31" s="283"/>
      <c r="H31" s="283"/>
    </row>
    <row r="32" spans="1:8" ht="17.25">
      <c r="A32" s="296" t="s">
        <v>364</v>
      </c>
      <c r="B32" s="296">
        <v>69</v>
      </c>
      <c r="C32" s="300">
        <v>3033.07</v>
      </c>
      <c r="D32" s="296">
        <v>9.92</v>
      </c>
      <c r="E32" s="300">
        <v>3663</v>
      </c>
      <c r="F32" s="283"/>
      <c r="G32" s="283"/>
      <c r="H32" s="283"/>
    </row>
    <row r="33" spans="1:8" ht="17.25">
      <c r="A33" s="301" t="s">
        <v>376</v>
      </c>
      <c r="B33" s="296"/>
      <c r="C33" s="301">
        <v>43.96</v>
      </c>
      <c r="D33" s="301">
        <v>0.14000000000000001</v>
      </c>
      <c r="E33" s="301">
        <v>53.09</v>
      </c>
      <c r="F33" s="283"/>
      <c r="G33" s="283"/>
      <c r="H33" s="283"/>
    </row>
    <row r="34" spans="1:8" ht="17.25">
      <c r="A34" s="296" t="s">
        <v>365</v>
      </c>
      <c r="B34" s="296">
        <v>43</v>
      </c>
      <c r="C34" s="296">
        <v>912.7</v>
      </c>
      <c r="D34" s="296">
        <v>2.4500000000000002</v>
      </c>
      <c r="E34" s="296">
        <v>30</v>
      </c>
      <c r="F34" s="283"/>
      <c r="G34" s="283"/>
      <c r="H34" s="283"/>
    </row>
    <row r="35" spans="1:8" ht="17.25">
      <c r="A35" s="301" t="s">
        <v>377</v>
      </c>
      <c r="B35" s="296"/>
      <c r="C35" s="301">
        <v>21.23</v>
      </c>
      <c r="D35" s="301">
        <v>0.06</v>
      </c>
      <c r="E35" s="301">
        <v>0.7</v>
      </c>
      <c r="F35" s="283"/>
      <c r="G35" s="283"/>
      <c r="H35" s="283"/>
    </row>
    <row r="36" spans="1:8" ht="17.25">
      <c r="A36" s="295" t="s">
        <v>64</v>
      </c>
      <c r="B36" s="295">
        <v>415</v>
      </c>
      <c r="C36" s="295">
        <v>12814.27</v>
      </c>
      <c r="D36" s="295">
        <v>41.13</v>
      </c>
      <c r="E36" s="302">
        <v>12508</v>
      </c>
      <c r="F36" s="283"/>
      <c r="G36" s="283"/>
      <c r="H36" s="283"/>
    </row>
    <row r="37" spans="1:8" ht="17.25">
      <c r="A37" s="303"/>
      <c r="B37" s="283"/>
      <c r="C37" s="290"/>
      <c r="D37" s="290"/>
      <c r="E37" s="283"/>
      <c r="F37" s="283"/>
      <c r="G37" s="283"/>
      <c r="H37" s="283"/>
    </row>
    <row r="38" spans="1:8" ht="17.25">
      <c r="A38" s="303" t="s">
        <v>378</v>
      </c>
      <c r="B38" s="283"/>
      <c r="C38" s="290"/>
      <c r="D38" s="290"/>
      <c r="E38" s="283"/>
      <c r="F38" s="283"/>
      <c r="G38" s="283"/>
      <c r="H38" s="283"/>
    </row>
    <row r="39" spans="1:8" ht="17.25">
      <c r="A39" s="334" t="s">
        <v>359</v>
      </c>
      <c r="B39" s="334" t="s">
        <v>368</v>
      </c>
      <c r="C39" s="334" t="s">
        <v>369</v>
      </c>
      <c r="D39" s="334" t="s">
        <v>370</v>
      </c>
      <c r="E39" s="334" t="s">
        <v>371</v>
      </c>
      <c r="F39" s="283"/>
      <c r="G39" s="283"/>
      <c r="H39" s="283"/>
    </row>
    <row r="40" spans="1:8" ht="17.25">
      <c r="A40" s="329"/>
      <c r="B40" s="329"/>
      <c r="C40" s="329"/>
      <c r="D40" s="329"/>
      <c r="E40" s="329"/>
      <c r="F40" s="283"/>
      <c r="G40" s="283"/>
      <c r="H40" s="283"/>
    </row>
    <row r="41" spans="1:8" ht="17.25">
      <c r="A41" s="295" t="s">
        <v>335</v>
      </c>
      <c r="B41" s="299"/>
      <c r="C41" s="295" t="s">
        <v>372</v>
      </c>
      <c r="D41" s="295" t="s">
        <v>373</v>
      </c>
      <c r="E41" s="295" t="s">
        <v>374</v>
      </c>
      <c r="F41" s="283"/>
      <c r="G41" s="283"/>
      <c r="H41" s="283"/>
    </row>
    <row r="42" spans="1:8" ht="17.25">
      <c r="A42" s="296" t="s">
        <v>363</v>
      </c>
      <c r="B42" s="296">
        <v>311</v>
      </c>
      <c r="C42" s="300">
        <v>9062.91</v>
      </c>
      <c r="D42" s="296">
        <v>30.21</v>
      </c>
      <c r="E42" s="300">
        <v>9387.5</v>
      </c>
      <c r="F42" s="283"/>
      <c r="G42" s="283"/>
      <c r="H42" s="283"/>
    </row>
    <row r="43" spans="1:8" ht="17.25">
      <c r="A43" s="301" t="s">
        <v>375</v>
      </c>
      <c r="B43" s="296"/>
      <c r="C43" s="296">
        <v>29.14</v>
      </c>
      <c r="D43" s="296">
        <v>0.1</v>
      </c>
      <c r="E43" s="296">
        <v>30.18</v>
      </c>
      <c r="F43" s="283"/>
      <c r="G43" s="283"/>
      <c r="H43" s="283"/>
    </row>
    <row r="44" spans="1:8" ht="17.25">
      <c r="A44" s="296" t="s">
        <v>364</v>
      </c>
      <c r="B44" s="296">
        <v>58</v>
      </c>
      <c r="C44" s="300">
        <v>2676.3</v>
      </c>
      <c r="D44" s="296">
        <v>8.4</v>
      </c>
      <c r="E44" s="300">
        <v>3227.5</v>
      </c>
      <c r="F44" s="283"/>
      <c r="G44" s="283"/>
      <c r="H44" s="283"/>
    </row>
    <row r="45" spans="1:8" ht="17.25">
      <c r="A45" s="301" t="s">
        <v>376</v>
      </c>
      <c r="B45" s="296"/>
      <c r="C45" s="296">
        <v>46.14</v>
      </c>
      <c r="D45" s="296">
        <v>0.14000000000000001</v>
      </c>
      <c r="E45" s="296">
        <v>55.65</v>
      </c>
      <c r="F45" s="283"/>
      <c r="G45" s="283"/>
      <c r="H45" s="283"/>
    </row>
    <row r="46" spans="1:8" ht="17.25">
      <c r="A46" s="296" t="s">
        <v>365</v>
      </c>
      <c r="B46" s="296">
        <v>40</v>
      </c>
      <c r="C46" s="296">
        <v>854</v>
      </c>
      <c r="D46" s="296">
        <v>2.4</v>
      </c>
      <c r="E46" s="296" t="s">
        <v>58</v>
      </c>
      <c r="F46" s="283"/>
      <c r="G46" s="283"/>
      <c r="H46" s="283"/>
    </row>
    <row r="47" spans="1:8" ht="17.25">
      <c r="A47" s="301" t="s">
        <v>377</v>
      </c>
      <c r="B47" s="296"/>
      <c r="C47" s="296">
        <v>21.35</v>
      </c>
      <c r="D47" s="296">
        <v>0.06</v>
      </c>
      <c r="E47" s="296" t="s">
        <v>58</v>
      </c>
      <c r="F47" s="283"/>
      <c r="G47" s="283"/>
      <c r="H47" s="283"/>
    </row>
    <row r="48" spans="1:8" ht="17.25">
      <c r="A48" s="295" t="s">
        <v>64</v>
      </c>
      <c r="B48" s="295">
        <v>409</v>
      </c>
      <c r="C48" s="302">
        <v>12593.21</v>
      </c>
      <c r="D48" s="295">
        <v>41.01</v>
      </c>
      <c r="E48" s="302">
        <v>12615</v>
      </c>
      <c r="F48" s="283"/>
      <c r="G48" s="283"/>
      <c r="H48" s="283"/>
    </row>
    <row r="49" spans="1:8" ht="17.25">
      <c r="A49" s="303"/>
      <c r="B49" s="283"/>
      <c r="C49" s="290"/>
      <c r="D49" s="290"/>
      <c r="E49" s="283"/>
      <c r="F49" s="283"/>
      <c r="G49" s="283"/>
      <c r="H49" s="283"/>
    </row>
    <row r="50" spans="1:8" ht="17.25">
      <c r="A50" s="295" t="s">
        <v>334</v>
      </c>
      <c r="B50" s="295" t="s">
        <v>335</v>
      </c>
      <c r="C50" s="295" t="s">
        <v>336</v>
      </c>
      <c r="D50" s="295" t="s">
        <v>379</v>
      </c>
      <c r="E50" s="283"/>
      <c r="F50" s="283"/>
      <c r="G50" s="283"/>
      <c r="H50" s="283"/>
    </row>
    <row r="51" spans="1:8" ht="17.25">
      <c r="A51" s="296" t="s">
        <v>338</v>
      </c>
      <c r="B51" s="301" t="s">
        <v>232</v>
      </c>
      <c r="C51" s="296" t="s">
        <v>380</v>
      </c>
      <c r="D51" s="296" t="s">
        <v>381</v>
      </c>
      <c r="E51" s="283"/>
      <c r="F51" s="283"/>
      <c r="G51" s="283"/>
      <c r="H51" s="283"/>
    </row>
    <row r="52" spans="1:8" ht="17.25">
      <c r="A52" s="296" t="s">
        <v>339</v>
      </c>
      <c r="B52" s="301" t="s">
        <v>335</v>
      </c>
      <c r="C52" s="296" t="s">
        <v>382</v>
      </c>
      <c r="D52" s="296" t="s">
        <v>383</v>
      </c>
      <c r="E52" s="283"/>
      <c r="F52" s="283"/>
      <c r="G52" s="283"/>
      <c r="H52" s="283"/>
    </row>
    <row r="53" spans="1:8" ht="17.25">
      <c r="A53" s="296" t="s">
        <v>384</v>
      </c>
      <c r="B53" s="301" t="s">
        <v>335</v>
      </c>
      <c r="C53" s="296" t="s">
        <v>385</v>
      </c>
      <c r="D53" s="296" t="s">
        <v>386</v>
      </c>
      <c r="E53" s="283"/>
      <c r="F53" s="283"/>
      <c r="G53" s="283"/>
      <c r="H53" s="283"/>
    </row>
    <row r="54" spans="1:8" ht="17.25">
      <c r="A54" s="296" t="s">
        <v>387</v>
      </c>
      <c r="B54" s="301" t="s">
        <v>335</v>
      </c>
      <c r="C54" s="296" t="s">
        <v>388</v>
      </c>
      <c r="D54" s="296" t="s">
        <v>389</v>
      </c>
      <c r="E54" s="283"/>
      <c r="F54" s="283"/>
      <c r="G54" s="283"/>
      <c r="H54" s="283"/>
    </row>
    <row r="55" spans="1:8" ht="17.25">
      <c r="A55" s="301" t="s">
        <v>390</v>
      </c>
      <c r="B55" s="301" t="s">
        <v>349</v>
      </c>
      <c r="C55" s="301" t="s">
        <v>350</v>
      </c>
      <c r="D55" s="301" t="s">
        <v>391</v>
      </c>
      <c r="E55" s="283"/>
      <c r="F55" s="283"/>
      <c r="G55" s="283"/>
      <c r="H55" s="283"/>
    </row>
    <row r="56" spans="1:8" ht="17.25">
      <c r="A56" s="301" t="s">
        <v>352</v>
      </c>
      <c r="B56" s="301" t="s">
        <v>353</v>
      </c>
      <c r="C56" s="301">
        <v>89.84</v>
      </c>
      <c r="D56" s="301">
        <v>88.13</v>
      </c>
      <c r="E56" s="283"/>
      <c r="F56" s="283"/>
      <c r="G56" s="283"/>
      <c r="H56" s="283"/>
    </row>
    <row r="57" spans="1:8" ht="17.25">
      <c r="A57" s="301" t="s">
        <v>392</v>
      </c>
      <c r="B57" s="301" t="s">
        <v>232</v>
      </c>
      <c r="C57" s="301" t="s">
        <v>393</v>
      </c>
      <c r="D57" s="301" t="s">
        <v>394</v>
      </c>
      <c r="E57" s="283"/>
      <c r="F57" s="283"/>
      <c r="G57" s="283"/>
      <c r="H57" s="283"/>
    </row>
    <row r="58" spans="1:8" ht="17.25">
      <c r="A58" s="303"/>
      <c r="B58" s="283"/>
      <c r="C58" s="290"/>
      <c r="D58" s="290"/>
      <c r="E58" s="283"/>
      <c r="F58" s="283"/>
      <c r="G58" s="283"/>
      <c r="H58" s="283"/>
    </row>
    <row r="59" spans="1:8" ht="17.25">
      <c r="A59" s="295" t="s">
        <v>334</v>
      </c>
      <c r="B59" s="295" t="s">
        <v>335</v>
      </c>
      <c r="C59" s="295" t="s">
        <v>395</v>
      </c>
      <c r="D59" s="295" t="s">
        <v>396</v>
      </c>
      <c r="E59" s="295" t="s">
        <v>397</v>
      </c>
      <c r="F59" s="295" t="s">
        <v>398</v>
      </c>
      <c r="G59" s="295" t="s">
        <v>399</v>
      </c>
      <c r="H59" s="295" t="s">
        <v>400</v>
      </c>
    </row>
    <row r="60" spans="1:8" ht="30">
      <c r="A60" s="301" t="s">
        <v>390</v>
      </c>
      <c r="B60" s="301" t="s">
        <v>349</v>
      </c>
      <c r="C60" s="296" t="s">
        <v>401</v>
      </c>
      <c r="D60" s="296" t="s">
        <v>402</v>
      </c>
      <c r="E60" s="296" t="s">
        <v>403</v>
      </c>
      <c r="F60" s="296" t="s">
        <v>404</v>
      </c>
      <c r="G60" s="296" t="s">
        <v>405</v>
      </c>
      <c r="H60" s="296" t="s">
        <v>406</v>
      </c>
    </row>
    <row r="61" spans="1:8" ht="17.25">
      <c r="A61" s="303"/>
      <c r="B61" s="283"/>
      <c r="C61" s="290"/>
      <c r="D61" s="290"/>
      <c r="E61" s="283"/>
      <c r="F61" s="283"/>
      <c r="G61" s="283"/>
      <c r="H61" s="283"/>
    </row>
    <row r="62" spans="1:8" ht="17.25">
      <c r="A62" s="304" t="s">
        <v>407</v>
      </c>
      <c r="B62" s="283"/>
      <c r="C62" s="290"/>
      <c r="D62" s="290"/>
      <c r="E62" s="283"/>
      <c r="F62" s="283"/>
      <c r="G62" s="283"/>
      <c r="H62" s="283"/>
    </row>
    <row r="63" spans="1:8" ht="17.25">
      <c r="A63" s="305"/>
      <c r="B63" s="296" t="s">
        <v>408</v>
      </c>
      <c r="C63" s="296" t="s">
        <v>409</v>
      </c>
      <c r="D63" s="296" t="s">
        <v>410</v>
      </c>
      <c r="E63" s="296" t="s">
        <v>411</v>
      </c>
      <c r="F63" s="283"/>
      <c r="G63" s="283"/>
      <c r="H63" s="283"/>
    </row>
    <row r="64" spans="1:8" ht="17.25">
      <c r="A64" s="296" t="s">
        <v>412</v>
      </c>
      <c r="B64" s="296" t="s">
        <v>413</v>
      </c>
      <c r="C64" s="296" t="s">
        <v>414</v>
      </c>
      <c r="D64" s="296" t="s">
        <v>415</v>
      </c>
      <c r="E64" s="296" t="s">
        <v>416</v>
      </c>
      <c r="F64" s="283"/>
      <c r="G64" s="283"/>
      <c r="H64" s="283"/>
    </row>
    <row r="65" spans="1:8" ht="17.25">
      <c r="A65" s="303" t="s">
        <v>417</v>
      </c>
      <c r="B65" s="283"/>
      <c r="C65" s="290"/>
      <c r="D65" s="290"/>
      <c r="E65" s="283"/>
      <c r="F65" s="283"/>
      <c r="G65" s="283"/>
      <c r="H65" s="283"/>
    </row>
  </sheetData>
  <mergeCells count="13">
    <mergeCell ref="E39:E40"/>
    <mergeCell ref="A17:A18"/>
    <mergeCell ref="B17:C17"/>
    <mergeCell ref="D17:F17"/>
    <mergeCell ref="B27:B28"/>
    <mergeCell ref="C27:C28"/>
    <mergeCell ref="D27:D28"/>
    <mergeCell ref="E27:E28"/>
    <mergeCell ref="A27:A28"/>
    <mergeCell ref="A39:A40"/>
    <mergeCell ref="B39:B40"/>
    <mergeCell ref="C39:C40"/>
    <mergeCell ref="D39:D4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summaryBelow="0" summaryRight="0"/>
  </sheetPr>
  <dimension ref="A1:F20"/>
  <sheetViews>
    <sheetView workbookViewId="0">
      <selection activeCell="A22" sqref="A22"/>
    </sheetView>
  </sheetViews>
  <sheetFormatPr defaultColWidth="11.25" defaultRowHeight="15" customHeight="1"/>
  <cols>
    <col min="1" max="1" width="26.375" customWidth="1"/>
    <col min="6" max="6" width="18" customWidth="1"/>
  </cols>
  <sheetData>
    <row r="1" spans="1:6">
      <c r="A1" s="337" t="s">
        <v>418</v>
      </c>
      <c r="B1" s="338" t="s">
        <v>419</v>
      </c>
      <c r="C1" s="336"/>
      <c r="D1" s="338" t="s">
        <v>420</v>
      </c>
      <c r="E1" s="336"/>
      <c r="F1" s="306" t="s">
        <v>421</v>
      </c>
    </row>
    <row r="2" spans="1:6">
      <c r="A2" s="329"/>
      <c r="B2" s="306" t="s">
        <v>422</v>
      </c>
      <c r="C2" s="307" t="s">
        <v>423</v>
      </c>
      <c r="D2" s="306" t="s">
        <v>422</v>
      </c>
      <c r="E2" s="308" t="s">
        <v>144</v>
      </c>
      <c r="F2" s="309"/>
    </row>
    <row r="3" spans="1:6">
      <c r="A3" s="310" t="s">
        <v>424</v>
      </c>
      <c r="B3" s="311">
        <v>289137</v>
      </c>
      <c r="C3" s="312">
        <f t="shared" ref="C3:C16" si="0">B3/$B$20</f>
        <v>0.2428667545276548</v>
      </c>
      <c r="D3" s="311">
        <v>289137</v>
      </c>
      <c r="E3" s="312">
        <f t="shared" ref="E3:E20" si="1">D3/$D$20</f>
        <v>0.15148428793944338</v>
      </c>
      <c r="F3" s="310" t="s">
        <v>425</v>
      </c>
    </row>
    <row r="4" spans="1:6">
      <c r="A4" s="310" t="s">
        <v>426</v>
      </c>
      <c r="B4" s="311">
        <v>60093</v>
      </c>
      <c r="C4" s="312">
        <f t="shared" si="0"/>
        <v>5.0476389669362132E-2</v>
      </c>
      <c r="D4" s="311">
        <v>60093</v>
      </c>
      <c r="E4" s="312">
        <f t="shared" si="1"/>
        <v>3.1483847847715692E-2</v>
      </c>
      <c r="F4" s="310" t="s">
        <v>427</v>
      </c>
    </row>
    <row r="5" spans="1:6">
      <c r="A5" s="310" t="s">
        <v>428</v>
      </c>
      <c r="B5" s="311">
        <v>45092</v>
      </c>
      <c r="C5" s="312">
        <f t="shared" si="0"/>
        <v>3.7875981611350362E-2</v>
      </c>
      <c r="D5" s="311">
        <v>45092</v>
      </c>
      <c r="E5" s="312">
        <f t="shared" si="1"/>
        <v>2.362454307738332E-2</v>
      </c>
      <c r="F5" s="310" t="s">
        <v>427</v>
      </c>
    </row>
    <row r="6" spans="1:6">
      <c r="A6" s="310" t="s">
        <v>429</v>
      </c>
      <c r="B6" s="311">
        <v>3417</v>
      </c>
      <c r="C6" s="312">
        <f t="shared" si="0"/>
        <v>2.8701816101744031E-3</v>
      </c>
      <c r="D6" s="311">
        <v>3417</v>
      </c>
      <c r="E6" s="312">
        <f t="shared" si="1"/>
        <v>1.7902302779965139E-3</v>
      </c>
      <c r="F6" s="310" t="s">
        <v>427</v>
      </c>
    </row>
    <row r="7" spans="1:6">
      <c r="A7" s="310" t="s">
        <v>430</v>
      </c>
      <c r="B7" s="311">
        <v>33566</v>
      </c>
      <c r="C7" s="312">
        <f t="shared" si="0"/>
        <v>2.8194473493448644E-2</v>
      </c>
      <c r="D7" s="311">
        <v>33566</v>
      </c>
      <c r="E7" s="312">
        <f t="shared" si="1"/>
        <v>1.7585855871007017E-2</v>
      </c>
      <c r="F7" s="310" t="s">
        <v>427</v>
      </c>
    </row>
    <row r="8" spans="1:6">
      <c r="A8" s="310" t="s">
        <v>431</v>
      </c>
      <c r="B8" s="311">
        <v>4000</v>
      </c>
      <c r="C8" s="312">
        <f t="shared" si="0"/>
        <v>3.3598848231482623E-3</v>
      </c>
      <c r="D8" s="311">
        <v>4000</v>
      </c>
      <c r="E8" s="312">
        <f t="shared" si="1"/>
        <v>2.095674893762381E-3</v>
      </c>
      <c r="F8" s="310" t="s">
        <v>427</v>
      </c>
    </row>
    <row r="9" spans="1:6">
      <c r="A9" s="310" t="s">
        <v>432</v>
      </c>
      <c r="B9" s="311">
        <v>3600</v>
      </c>
      <c r="C9" s="312">
        <f t="shared" si="0"/>
        <v>3.0238963408334364E-3</v>
      </c>
      <c r="D9" s="311">
        <v>3600</v>
      </c>
      <c r="E9" s="312">
        <f t="shared" si="1"/>
        <v>1.8861074043861428E-3</v>
      </c>
      <c r="F9" s="310" t="s">
        <v>427</v>
      </c>
    </row>
    <row r="10" spans="1:6">
      <c r="A10" s="310" t="s">
        <v>433</v>
      </c>
      <c r="B10" s="311">
        <v>2135</v>
      </c>
      <c r="C10" s="312">
        <f t="shared" si="0"/>
        <v>1.7933385243553851E-3</v>
      </c>
      <c r="D10" s="311">
        <v>2135</v>
      </c>
      <c r="E10" s="312">
        <f t="shared" si="1"/>
        <v>1.1185664745456709E-3</v>
      </c>
      <c r="F10" s="310" t="s">
        <v>427</v>
      </c>
    </row>
    <row r="11" spans="1:6">
      <c r="A11" s="310" t="s">
        <v>434</v>
      </c>
      <c r="B11" s="311">
        <v>17088</v>
      </c>
      <c r="C11" s="312">
        <f t="shared" si="0"/>
        <v>1.4353427964489377E-2</v>
      </c>
      <c r="D11" s="311">
        <v>17088</v>
      </c>
      <c r="E11" s="312">
        <f t="shared" si="1"/>
        <v>8.9527231461528911E-3</v>
      </c>
      <c r="F11" s="310" t="s">
        <v>435</v>
      </c>
    </row>
    <row r="12" spans="1:6">
      <c r="A12" s="310" t="s">
        <v>436</v>
      </c>
      <c r="B12" s="311">
        <v>34379</v>
      </c>
      <c r="C12" s="312">
        <f t="shared" si="0"/>
        <v>2.8877370083753528E-2</v>
      </c>
      <c r="D12" s="311">
        <v>34379</v>
      </c>
      <c r="E12" s="312">
        <f t="shared" si="1"/>
        <v>1.8011801793164223E-2</v>
      </c>
      <c r="F12" s="310" t="s">
        <v>437</v>
      </c>
    </row>
    <row r="13" spans="1:6">
      <c r="A13" s="310" t="s">
        <v>438</v>
      </c>
      <c r="B13" s="311">
        <v>1000</v>
      </c>
      <c r="C13" s="312">
        <f t="shared" si="0"/>
        <v>8.3997120578706557E-4</v>
      </c>
      <c r="D13" s="311">
        <v>1000</v>
      </c>
      <c r="E13" s="312">
        <f t="shared" si="1"/>
        <v>5.2391872344059525E-4</v>
      </c>
      <c r="F13" s="310" t="s">
        <v>437</v>
      </c>
    </row>
    <row r="14" spans="1:6">
      <c r="A14" s="310" t="s">
        <v>439</v>
      </c>
      <c r="B14" s="311">
        <v>169793</v>
      </c>
      <c r="C14" s="312">
        <f t="shared" si="0"/>
        <v>0.14262123094420323</v>
      </c>
      <c r="D14" s="311">
        <v>169793</v>
      </c>
      <c r="E14" s="312">
        <f t="shared" si="1"/>
        <v>8.8957731809148982E-2</v>
      </c>
      <c r="F14" s="310" t="s">
        <v>440</v>
      </c>
    </row>
    <row r="15" spans="1:6">
      <c r="A15" s="310" t="s">
        <v>441</v>
      </c>
      <c r="B15" s="311">
        <v>265304</v>
      </c>
      <c r="C15" s="312">
        <f t="shared" si="0"/>
        <v>0.22284772078013165</v>
      </c>
      <c r="D15" s="311">
        <v>265304</v>
      </c>
      <c r="E15" s="312">
        <f t="shared" si="1"/>
        <v>0.13899773300368368</v>
      </c>
      <c r="F15" s="310" t="s">
        <v>442</v>
      </c>
    </row>
    <row r="16" spans="1:6">
      <c r="A16" s="310" t="s">
        <v>443</v>
      </c>
      <c r="B16" s="311">
        <v>261913</v>
      </c>
      <c r="C16" s="312">
        <f t="shared" si="0"/>
        <v>0.21999937842130771</v>
      </c>
      <c r="D16" s="311">
        <v>261913</v>
      </c>
      <c r="E16" s="312">
        <f t="shared" si="1"/>
        <v>0.13722112461249661</v>
      </c>
      <c r="F16" s="310" t="s">
        <v>444</v>
      </c>
    </row>
    <row r="17" spans="1:6">
      <c r="A17" s="310" t="s">
        <v>439</v>
      </c>
      <c r="B17" s="313">
        <v>0</v>
      </c>
      <c r="C17" s="312">
        <v>0</v>
      </c>
      <c r="D17" s="311">
        <v>36908</v>
      </c>
      <c r="E17" s="312">
        <f t="shared" si="1"/>
        <v>1.933679224474549E-2</v>
      </c>
      <c r="F17" s="310" t="s">
        <v>440</v>
      </c>
    </row>
    <row r="18" spans="1:6">
      <c r="A18" s="310" t="s">
        <v>445</v>
      </c>
      <c r="B18" s="313">
        <v>0</v>
      </c>
      <c r="C18" s="312">
        <f t="shared" ref="C18:C20" si="2">B18/$B$20</f>
        <v>0</v>
      </c>
      <c r="D18" s="311">
        <v>247308</v>
      </c>
      <c r="E18" s="312">
        <f t="shared" si="1"/>
        <v>0.12956929165664671</v>
      </c>
      <c r="F18" s="310" t="s">
        <v>442</v>
      </c>
    </row>
    <row r="19" spans="1:6">
      <c r="A19" s="310" t="s">
        <v>446</v>
      </c>
      <c r="B19" s="313">
        <v>0</v>
      </c>
      <c r="C19" s="312">
        <f t="shared" si="2"/>
        <v>0</v>
      </c>
      <c r="D19" s="311">
        <f>130058+303902</f>
        <v>433960</v>
      </c>
      <c r="E19" s="312">
        <f t="shared" si="1"/>
        <v>0.22735976922428069</v>
      </c>
      <c r="F19" s="310" t="s">
        <v>444</v>
      </c>
    </row>
    <row r="20" spans="1:6">
      <c r="A20" s="306" t="s">
        <v>64</v>
      </c>
      <c r="B20" s="314">
        <f>SUM(B3:B19)</f>
        <v>1190517</v>
      </c>
      <c r="C20" s="312">
        <f t="shared" si="2"/>
        <v>1</v>
      </c>
      <c r="D20" s="314">
        <f>SUM(D3:D19)</f>
        <v>1908693</v>
      </c>
      <c r="E20" s="312">
        <f t="shared" si="1"/>
        <v>1</v>
      </c>
      <c r="F20" s="309"/>
    </row>
  </sheetData>
  <mergeCells count="3">
    <mergeCell ref="A1:A2"/>
    <mergeCell ref="B1:C1"/>
    <mergeCell ref="D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E31"/>
  <sheetViews>
    <sheetView tabSelected="1" workbookViewId="0">
      <selection activeCell="E20" sqref="E20"/>
    </sheetView>
  </sheetViews>
  <sheetFormatPr defaultColWidth="11.25" defaultRowHeight="15" customHeight="1"/>
  <cols>
    <col min="1" max="1" width="38.375" customWidth="1"/>
    <col min="3" max="3" width="59.75" customWidth="1"/>
  </cols>
  <sheetData>
    <row r="1" spans="1:5">
      <c r="A1" s="316" t="s">
        <v>4</v>
      </c>
      <c r="B1" s="317"/>
      <c r="C1" s="318"/>
    </row>
    <row r="2" spans="1:5">
      <c r="A2" s="4" t="s">
        <v>5</v>
      </c>
      <c r="B2" s="5" t="s">
        <v>6</v>
      </c>
      <c r="C2" s="4" t="s">
        <v>7</v>
      </c>
    </row>
    <row r="3" spans="1:5">
      <c r="A3" s="6" t="s">
        <v>8</v>
      </c>
      <c r="B3" s="7">
        <f>'Project Cost'!C13</f>
        <v>89.323419332033595</v>
      </c>
      <c r="C3" s="6" t="s">
        <v>9</v>
      </c>
    </row>
    <row r="4" spans="1:5">
      <c r="A4" s="6" t="s">
        <v>10</v>
      </c>
      <c r="B4" s="7">
        <f>'Project Cost'!C12</f>
        <v>62.526393532423512</v>
      </c>
      <c r="C4" s="6" t="s">
        <v>11</v>
      </c>
    </row>
    <row r="5" spans="1:5">
      <c r="A5" s="6" t="s">
        <v>12</v>
      </c>
      <c r="B5" s="8">
        <f>B6/('Project Cost'!C5*365*24)</f>
        <v>0.16551252643231532</v>
      </c>
      <c r="C5" s="6" t="s">
        <v>13</v>
      </c>
    </row>
    <row r="6" spans="1:5">
      <c r="A6" s="6" t="s">
        <v>14</v>
      </c>
      <c r="B6" s="9">
        <f>B20*'Project Cost'!C4/1000</f>
        <v>28703670</v>
      </c>
      <c r="C6" s="6" t="s">
        <v>15</v>
      </c>
    </row>
    <row r="7" spans="1:5">
      <c r="A7" s="6" t="s">
        <v>16</v>
      </c>
      <c r="B7" s="10" t="s">
        <v>17</v>
      </c>
      <c r="C7" s="6" t="s">
        <v>18</v>
      </c>
    </row>
    <row r="8" spans="1:5">
      <c r="A8" s="6" t="s">
        <v>19</v>
      </c>
      <c r="B8" s="11">
        <f>4.85</f>
        <v>4.8499999999999996</v>
      </c>
      <c r="C8" s="6" t="s">
        <v>449</v>
      </c>
      <c r="D8">
        <v>4.8499999999999996</v>
      </c>
    </row>
    <row r="9" spans="1:5">
      <c r="A9" s="6" t="s">
        <v>20</v>
      </c>
      <c r="B9" s="11">
        <v>14.5</v>
      </c>
      <c r="C9" s="6" t="s">
        <v>21</v>
      </c>
    </row>
    <row r="10" spans="1:5">
      <c r="A10" s="6" t="s">
        <v>22</v>
      </c>
      <c r="B10" s="11">
        <v>0.5</v>
      </c>
      <c r="C10" s="6" t="s">
        <v>23</v>
      </c>
      <c r="E10">
        <f>173/12</f>
        <v>14.416666666666666</v>
      </c>
    </row>
    <row r="11" spans="1:5">
      <c r="A11" s="6" t="s">
        <v>24</v>
      </c>
      <c r="B11" s="12">
        <f>6</f>
        <v>6</v>
      </c>
      <c r="C11" s="6" t="s">
        <v>25</v>
      </c>
    </row>
    <row r="12" spans="1:5">
      <c r="A12" s="6" t="s">
        <v>26</v>
      </c>
      <c r="B12" s="13">
        <v>0.03</v>
      </c>
      <c r="C12" s="6" t="s">
        <v>27</v>
      </c>
    </row>
    <row r="13" spans="1:5">
      <c r="A13" s="6" t="s">
        <v>28</v>
      </c>
      <c r="B13" s="13">
        <v>0.18</v>
      </c>
      <c r="C13" s="6" t="s">
        <v>29</v>
      </c>
      <c r="D13" s="70" t="s">
        <v>451</v>
      </c>
    </row>
    <row r="14" spans="1:5">
      <c r="A14" s="6" t="s">
        <v>30</v>
      </c>
      <c r="B14" s="14">
        <v>9.2499999999999999E-2</v>
      </c>
      <c r="C14" s="6" t="s">
        <v>31</v>
      </c>
    </row>
    <row r="15" spans="1:5">
      <c r="A15" s="6" t="s">
        <v>32</v>
      </c>
      <c r="B15" s="315" t="s">
        <v>33</v>
      </c>
      <c r="C15" s="6" t="s">
        <v>34</v>
      </c>
    </row>
    <row r="16" spans="1:5">
      <c r="A16" s="6" t="s">
        <v>35</v>
      </c>
      <c r="B16" s="10" t="s">
        <v>36</v>
      </c>
      <c r="C16" s="6" t="s">
        <v>37</v>
      </c>
    </row>
    <row r="17" spans="1:3">
      <c r="A17" s="6" t="s">
        <v>38</v>
      </c>
      <c r="B17" s="13">
        <v>0.04</v>
      </c>
      <c r="C17" s="6" t="s">
        <v>39</v>
      </c>
    </row>
    <row r="18" spans="1:3">
      <c r="A18" s="15"/>
      <c r="B18" s="16"/>
      <c r="C18" s="15"/>
    </row>
    <row r="19" spans="1:3">
      <c r="A19" s="15"/>
      <c r="B19" s="16"/>
      <c r="C19" s="15"/>
    </row>
    <row r="20" spans="1:3">
      <c r="A20" s="6" t="s">
        <v>40</v>
      </c>
      <c r="B20" s="9">
        <f>PVSyst!G41/('Project Cost'!C4/1000)</f>
        <v>1449889.7315470821</v>
      </c>
      <c r="C20" s="15" t="s">
        <v>41</v>
      </c>
    </row>
    <row r="21" spans="1:3">
      <c r="A21" s="6"/>
      <c r="B21" s="9"/>
      <c r="C21" s="15"/>
    </row>
    <row r="22" spans="1:3">
      <c r="A22" s="6"/>
      <c r="B22" s="9"/>
      <c r="C22" s="15"/>
    </row>
    <row r="23" spans="1:3">
      <c r="A23" s="6"/>
      <c r="B23" s="9"/>
      <c r="C23" s="15"/>
    </row>
    <row r="24" spans="1:3">
      <c r="A24" s="6"/>
      <c r="B24" s="9"/>
      <c r="C24" s="15"/>
    </row>
    <row r="25" spans="1:3">
      <c r="A25" s="6"/>
      <c r="B25" s="9"/>
      <c r="C25" s="15"/>
    </row>
    <row r="26" spans="1:3">
      <c r="A26" s="6"/>
      <c r="B26" s="9"/>
      <c r="C26" s="15"/>
    </row>
    <row r="27" spans="1:3">
      <c r="A27" s="6"/>
      <c r="B27" s="9"/>
      <c r="C27" s="15"/>
    </row>
    <row r="28" spans="1:3">
      <c r="A28" s="6" t="s">
        <v>42</v>
      </c>
      <c r="B28" s="7">
        <f>'Proj DSCR'!B17</f>
        <v>1.5684189567680209</v>
      </c>
      <c r="C28" s="15"/>
    </row>
    <row r="29" spans="1:3">
      <c r="A29" s="6" t="s">
        <v>43</v>
      </c>
      <c r="B29" s="7">
        <f>'Proj DSCR'!B18</f>
        <v>1.2702169364970453</v>
      </c>
      <c r="C29" s="15"/>
    </row>
    <row r="30" spans="1:3">
      <c r="A30" s="6"/>
      <c r="B30" s="9"/>
      <c r="C30" s="15"/>
    </row>
    <row r="31" spans="1:3">
      <c r="A31" s="15"/>
      <c r="B31" s="9"/>
      <c r="C31" s="15"/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J22"/>
  <sheetViews>
    <sheetView workbookViewId="0">
      <selection activeCell="H12" sqref="H12"/>
    </sheetView>
  </sheetViews>
  <sheetFormatPr defaultColWidth="11.25" defaultRowHeight="15" customHeight="1"/>
  <cols>
    <col min="1" max="1" width="3.75" customWidth="1"/>
    <col min="2" max="2" width="34.5" customWidth="1"/>
    <col min="3" max="3" width="14.5" customWidth="1"/>
  </cols>
  <sheetData>
    <row r="1" spans="1:10" ht="15.75">
      <c r="A1" s="319" t="s">
        <v>44</v>
      </c>
      <c r="B1" s="317"/>
      <c r="C1" s="317"/>
      <c r="D1" s="317"/>
      <c r="E1" s="317"/>
      <c r="F1" s="317"/>
      <c r="G1" s="317"/>
      <c r="H1" s="318"/>
    </row>
    <row r="2" spans="1:10" ht="15.75">
      <c r="A2" s="320" t="s">
        <v>45</v>
      </c>
      <c r="B2" s="321"/>
      <c r="C2" s="321"/>
      <c r="D2" s="321"/>
      <c r="E2" s="321"/>
      <c r="F2" s="321"/>
      <c r="G2" s="321"/>
      <c r="H2" s="322"/>
    </row>
    <row r="3" spans="1:10" ht="15.75">
      <c r="A3" s="17" t="s">
        <v>46</v>
      </c>
      <c r="B3" s="18" t="s">
        <v>47</v>
      </c>
      <c r="C3" s="17" t="s">
        <v>48</v>
      </c>
      <c r="D3" s="17" t="s">
        <v>49</v>
      </c>
      <c r="E3" s="19" t="s">
        <v>50</v>
      </c>
      <c r="F3" s="17" t="s">
        <v>51</v>
      </c>
      <c r="G3" s="18" t="s">
        <v>52</v>
      </c>
      <c r="H3" s="18" t="s">
        <v>53</v>
      </c>
    </row>
    <row r="4" spans="1:10" ht="58.5" customHeight="1">
      <c r="A4" s="20">
        <v>1</v>
      </c>
      <c r="B4" s="21" t="s">
        <v>54</v>
      </c>
      <c r="C4" s="22">
        <f>'PO wise details'!D43</f>
        <v>19797.14</v>
      </c>
      <c r="D4" s="23">
        <f>E4*10^7/(C4*1000)</f>
        <v>34.951800529303696</v>
      </c>
      <c r="E4" s="24">
        <f>'PO wise details'!E43/100</f>
        <v>69.194568833069937</v>
      </c>
      <c r="F4" s="25">
        <f>G4/E4</f>
        <v>0.13800000000000001</v>
      </c>
      <c r="G4" s="26">
        <f>'PO wise details'!F43/100</f>
        <v>9.5488504989636525</v>
      </c>
      <c r="H4" s="26">
        <f>E4+G4</f>
        <v>78.743419332033596</v>
      </c>
      <c r="J4" s="343" t="s">
        <v>450</v>
      </c>
    </row>
    <row r="5" spans="1:10" ht="62.25" customHeight="1">
      <c r="A5" s="20">
        <v>2</v>
      </c>
      <c r="B5" s="27" t="s">
        <v>55</v>
      </c>
      <c r="C5" s="22">
        <f>C4</f>
        <v>19797.14</v>
      </c>
      <c r="D5" s="28" t="s">
        <v>56</v>
      </c>
      <c r="E5" s="29">
        <v>6.3</v>
      </c>
      <c r="F5" s="30">
        <v>0</v>
      </c>
      <c r="G5" s="31">
        <f t="shared" ref="G5:G6" si="0">E5*F5</f>
        <v>0</v>
      </c>
      <c r="H5" s="26">
        <f t="shared" ref="H5:H6" si="1">E5</f>
        <v>6.3</v>
      </c>
    </row>
    <row r="6" spans="1:10" ht="28.5">
      <c r="A6" s="20">
        <v>4</v>
      </c>
      <c r="B6" s="32" t="s">
        <v>57</v>
      </c>
      <c r="C6" s="22"/>
      <c r="D6" s="33" t="s">
        <v>58</v>
      </c>
      <c r="E6" s="26">
        <v>4.28</v>
      </c>
      <c r="F6" s="30">
        <v>0</v>
      </c>
      <c r="G6" s="31">
        <f t="shared" si="0"/>
        <v>0</v>
      </c>
      <c r="H6" s="26">
        <f t="shared" si="1"/>
        <v>4.28</v>
      </c>
    </row>
    <row r="7" spans="1:10" ht="15.75">
      <c r="A7" s="34"/>
      <c r="B7" s="35" t="s">
        <v>59</v>
      </c>
      <c r="C7" s="20"/>
      <c r="D7" s="36">
        <f>D4</f>
        <v>34.951800529303696</v>
      </c>
      <c r="E7" s="37">
        <f>SUM(E4:E6)</f>
        <v>79.774568833069935</v>
      </c>
      <c r="F7" s="38" t="s">
        <v>58</v>
      </c>
      <c r="G7" s="37">
        <f t="shared" ref="G7:H7" si="2">SUM(G4:G6)</f>
        <v>9.5488504989636525</v>
      </c>
      <c r="H7" s="37">
        <f t="shared" si="2"/>
        <v>89.323419332033595</v>
      </c>
    </row>
    <row r="8" spans="1:10" ht="15.75">
      <c r="A8" s="39"/>
      <c r="B8" s="40"/>
      <c r="C8" s="41"/>
      <c r="D8" s="42"/>
      <c r="E8" s="43"/>
      <c r="F8" s="44"/>
      <c r="G8" s="43"/>
      <c r="H8" s="45">
        <f>H7/(C5/1000)</f>
        <v>4.5119355286689693</v>
      </c>
    </row>
    <row r="9" spans="1:10" ht="15.75">
      <c r="A9" s="323" t="s">
        <v>60</v>
      </c>
      <c r="B9" s="321"/>
      <c r="C9" s="322"/>
      <c r="D9" s="46"/>
      <c r="E9" s="47"/>
      <c r="F9" s="47"/>
      <c r="G9" s="47"/>
      <c r="H9" s="47"/>
    </row>
    <row r="10" spans="1:10" ht="15.75">
      <c r="A10" s="17" t="s">
        <v>46</v>
      </c>
      <c r="B10" s="18" t="s">
        <v>47</v>
      </c>
      <c r="C10" s="17" t="s">
        <v>61</v>
      </c>
      <c r="D10" s="48"/>
      <c r="E10" s="47"/>
      <c r="F10" s="47"/>
      <c r="G10" s="47"/>
      <c r="H10" s="47"/>
    </row>
    <row r="11" spans="1:10" ht="15.75">
      <c r="A11" s="20">
        <v>1</v>
      </c>
      <c r="B11" s="21" t="s">
        <v>62</v>
      </c>
      <c r="C11" s="49">
        <f>H7-C12</f>
        <v>26.797025799610083</v>
      </c>
      <c r="D11" s="50"/>
      <c r="E11" s="47"/>
      <c r="F11" s="47"/>
      <c r="G11" s="47"/>
      <c r="H11" s="47"/>
    </row>
    <row r="12" spans="1:10" ht="15.75">
      <c r="A12" s="20">
        <v>2</v>
      </c>
      <c r="B12" s="21" t="s">
        <v>63</v>
      </c>
      <c r="C12" s="49">
        <f>H7*0.7</f>
        <v>62.526393532423512</v>
      </c>
      <c r="D12" s="50"/>
      <c r="E12" s="51"/>
      <c r="F12" s="47"/>
      <c r="G12" s="47"/>
      <c r="H12" s="47"/>
    </row>
    <row r="13" spans="1:10" ht="15.75">
      <c r="A13" s="20"/>
      <c r="B13" s="52" t="s">
        <v>64</v>
      </c>
      <c r="C13" s="53">
        <f>SUM(C11:C12)</f>
        <v>89.323419332033595</v>
      </c>
      <c r="D13" s="48"/>
      <c r="E13" s="47"/>
      <c r="F13" s="47"/>
      <c r="G13" s="47"/>
      <c r="H13" s="47"/>
    </row>
    <row r="14" spans="1:10" ht="15.75">
      <c r="A14" s="54"/>
      <c r="B14" s="55"/>
      <c r="C14" s="56"/>
      <c r="D14" s="47"/>
      <c r="E14" s="47"/>
      <c r="F14" s="47"/>
      <c r="G14" s="47"/>
      <c r="H14" s="47"/>
    </row>
    <row r="15" spans="1:10" ht="15.75">
      <c r="A15" s="57"/>
      <c r="B15" s="57"/>
      <c r="C15" s="57"/>
      <c r="D15" s="57"/>
      <c r="E15" s="57"/>
      <c r="F15" s="57"/>
      <c r="G15" s="58"/>
      <c r="H15" s="57"/>
    </row>
    <row r="16" spans="1:10" ht="15.75">
      <c r="A16" s="17" t="s">
        <v>46</v>
      </c>
      <c r="B16" s="18" t="s">
        <v>65</v>
      </c>
      <c r="C16" s="17" t="s">
        <v>66</v>
      </c>
      <c r="D16" s="57"/>
      <c r="E16" s="57"/>
      <c r="F16" s="57"/>
      <c r="G16" s="58"/>
      <c r="H16" s="57"/>
    </row>
    <row r="17" spans="1:8" ht="15.75">
      <c r="A17" s="59">
        <v>1</v>
      </c>
      <c r="B17" s="59" t="s">
        <v>67</v>
      </c>
      <c r="C17" s="60">
        <f>C12/174*3</f>
        <v>1.0780412678004054</v>
      </c>
      <c r="D17" s="57"/>
      <c r="E17" s="57"/>
      <c r="F17" s="57"/>
      <c r="G17" s="58"/>
      <c r="H17" s="57"/>
    </row>
    <row r="18" spans="1:8" ht="15.75">
      <c r="A18" s="59">
        <v>2</v>
      </c>
      <c r="B18" s="59" t="s">
        <v>68</v>
      </c>
      <c r="C18" s="60">
        <f>C12*3/12*Assumptions!B14</f>
        <v>1.4459228504372936</v>
      </c>
      <c r="D18" s="57"/>
      <c r="E18" s="57"/>
      <c r="F18" s="57"/>
      <c r="G18" s="57"/>
      <c r="H18" s="57"/>
    </row>
    <row r="19" spans="1:8" ht="15.75">
      <c r="A19" s="59">
        <v>3</v>
      </c>
      <c r="B19" s="59" t="s">
        <v>69</v>
      </c>
      <c r="C19" s="60">
        <f>C12*0.5/100</f>
        <v>0.31263196766211754</v>
      </c>
      <c r="D19" s="57"/>
      <c r="E19" s="57"/>
      <c r="F19" s="57"/>
      <c r="G19" s="57"/>
      <c r="H19" s="57"/>
    </row>
    <row r="20" spans="1:8" ht="15.75">
      <c r="A20" s="59">
        <v>4</v>
      </c>
      <c r="B20" s="59" t="s">
        <v>70</v>
      </c>
      <c r="C20" s="60">
        <f>C12*1/12*Assumptions!B14</f>
        <v>0.48197428347909788</v>
      </c>
      <c r="D20" s="57"/>
      <c r="E20" s="57"/>
      <c r="F20" s="57"/>
      <c r="G20" s="57"/>
      <c r="H20" s="57"/>
    </row>
    <row r="21" spans="1:8" ht="15.75">
      <c r="A21" s="61"/>
      <c r="B21" s="62" t="s">
        <v>64</v>
      </c>
      <c r="C21" s="63">
        <f>SUM(C17:C20)</f>
        <v>3.3185703693789144</v>
      </c>
      <c r="D21" s="57"/>
      <c r="E21" s="57"/>
      <c r="F21" s="57"/>
      <c r="G21" s="57"/>
      <c r="H21" s="57"/>
    </row>
    <row r="22" spans="1:8" ht="15.75">
      <c r="A22" s="57"/>
      <c r="B22" s="57"/>
      <c r="C22" s="64"/>
      <c r="D22" s="57"/>
      <c r="E22" s="57"/>
      <c r="F22" s="57"/>
      <c r="G22" s="57"/>
      <c r="H22" s="57"/>
    </row>
  </sheetData>
  <mergeCells count="3">
    <mergeCell ref="A1:H1"/>
    <mergeCell ref="A2:H2"/>
    <mergeCell ref="A9:C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7"/>
  <sheetViews>
    <sheetView workbookViewId="0">
      <selection activeCell="D38" sqref="D38"/>
    </sheetView>
  </sheetViews>
  <sheetFormatPr defaultColWidth="11.25" defaultRowHeight="15" customHeight="1"/>
  <cols>
    <col min="1" max="1" width="5.625" customWidth="1"/>
    <col min="2" max="2" width="72.625" customWidth="1"/>
    <col min="3" max="3" width="8.75" customWidth="1"/>
    <col min="4" max="7" width="15.625" customWidth="1"/>
  </cols>
  <sheetData>
    <row r="1" spans="1:9">
      <c r="C1" s="65"/>
      <c r="D1" s="65"/>
      <c r="E1" s="65"/>
      <c r="F1" s="65"/>
      <c r="G1" s="66" t="s">
        <v>71</v>
      </c>
    </row>
    <row r="2" spans="1:9">
      <c r="B2" s="67" t="s">
        <v>72</v>
      </c>
      <c r="C2" s="67" t="s">
        <v>73</v>
      </c>
      <c r="D2" s="67" t="s">
        <v>74</v>
      </c>
      <c r="E2" s="68" t="s">
        <v>75</v>
      </c>
      <c r="F2" s="68" t="s">
        <v>76</v>
      </c>
      <c r="G2" s="69" t="s">
        <v>77</v>
      </c>
      <c r="H2" s="68" t="s">
        <v>447</v>
      </c>
      <c r="I2" s="68" t="s">
        <v>448</v>
      </c>
    </row>
    <row r="3" spans="1:9">
      <c r="A3" s="70">
        <v>1</v>
      </c>
      <c r="B3" s="70" t="s">
        <v>78</v>
      </c>
      <c r="C3" s="71" t="s">
        <v>79</v>
      </c>
      <c r="D3" s="72">
        <v>1566</v>
      </c>
      <c r="E3" s="73">
        <v>524.60702455668775</v>
      </c>
      <c r="F3" s="73">
        <f t="shared" ref="F3:F14" si="0">E3*13.8%</f>
        <v>72.395769388822913</v>
      </c>
      <c r="G3" s="74">
        <f t="shared" ref="G3:G14" si="1">E3*1.138</f>
        <v>597.00279394551058</v>
      </c>
      <c r="H3">
        <v>1800</v>
      </c>
      <c r="I3">
        <v>1651</v>
      </c>
    </row>
    <row r="4" spans="1:9">
      <c r="A4" s="70">
        <v>2</v>
      </c>
      <c r="B4" s="70" t="s">
        <v>80</v>
      </c>
      <c r="C4" s="71" t="s">
        <v>79</v>
      </c>
      <c r="D4" s="72">
        <v>1099.6799999999998</v>
      </c>
      <c r="E4" s="73">
        <v>352.80400476001313</v>
      </c>
      <c r="F4" s="73">
        <f t="shared" si="0"/>
        <v>48.686952656881815</v>
      </c>
      <c r="G4" s="74">
        <f t="shared" si="1"/>
        <v>401.4909574168949</v>
      </c>
      <c r="H4">
        <v>1000</v>
      </c>
      <c r="I4">
        <v>1100</v>
      </c>
    </row>
    <row r="5" spans="1:9">
      <c r="A5" s="70">
        <v>3</v>
      </c>
      <c r="B5" s="70" t="s">
        <v>81</v>
      </c>
      <c r="C5" s="65" t="s">
        <v>82</v>
      </c>
      <c r="D5" s="72">
        <v>502.28</v>
      </c>
      <c r="E5" s="73">
        <v>171.04931187543656</v>
      </c>
      <c r="F5" s="73">
        <f t="shared" si="0"/>
        <v>23.604805038810248</v>
      </c>
      <c r="G5" s="74">
        <f t="shared" si="1"/>
        <v>194.6541169142468</v>
      </c>
      <c r="H5">
        <v>500</v>
      </c>
      <c r="I5">
        <v>521</v>
      </c>
    </row>
    <row r="6" spans="1:9">
      <c r="A6" s="70">
        <v>4</v>
      </c>
      <c r="B6" s="70" t="s">
        <v>83</v>
      </c>
      <c r="C6" s="65" t="s">
        <v>82</v>
      </c>
      <c r="D6" s="72">
        <v>436.16</v>
      </c>
      <c r="E6" s="73">
        <v>143.4051679914142</v>
      </c>
      <c r="F6" s="73">
        <f t="shared" si="0"/>
        <v>19.789913182815162</v>
      </c>
      <c r="G6" s="74">
        <f t="shared" si="1"/>
        <v>163.19508117422936</v>
      </c>
      <c r="H6">
        <v>450</v>
      </c>
      <c r="I6">
        <v>452</v>
      </c>
    </row>
    <row r="7" spans="1:9">
      <c r="A7" s="70">
        <v>5</v>
      </c>
      <c r="B7" s="70" t="s">
        <v>84</v>
      </c>
      <c r="C7" s="65" t="s">
        <v>82</v>
      </c>
      <c r="D7" s="72">
        <v>100.92</v>
      </c>
      <c r="E7" s="73">
        <v>43.53606439690072</v>
      </c>
      <c r="F7" s="73">
        <f t="shared" si="0"/>
        <v>6.0079768867723002</v>
      </c>
      <c r="G7" s="74">
        <f t="shared" si="1"/>
        <v>49.544041283673018</v>
      </c>
      <c r="H7">
        <v>100</v>
      </c>
      <c r="I7">
        <v>200</v>
      </c>
    </row>
    <row r="8" spans="1:9">
      <c r="A8" s="70">
        <v>6</v>
      </c>
      <c r="B8" s="70" t="s">
        <v>85</v>
      </c>
      <c r="C8" s="65" t="s">
        <v>82</v>
      </c>
      <c r="D8" s="72">
        <v>205.32</v>
      </c>
      <c r="E8" s="73">
        <v>79.324357606497031</v>
      </c>
      <c r="F8" s="73">
        <f t="shared" si="0"/>
        <v>10.946761349696592</v>
      </c>
      <c r="G8" s="74">
        <f t="shared" si="1"/>
        <v>90.271118956193618</v>
      </c>
      <c r="H8">
        <v>250</v>
      </c>
      <c r="I8">
        <v>205</v>
      </c>
    </row>
    <row r="9" spans="1:9">
      <c r="A9" s="70">
        <v>7</v>
      </c>
      <c r="B9" s="70" t="s">
        <v>86</v>
      </c>
      <c r="C9" s="65" t="s">
        <v>82</v>
      </c>
      <c r="D9" s="72">
        <v>693.1</v>
      </c>
      <c r="E9" s="73">
        <v>246.09285796931229</v>
      </c>
      <c r="F9" s="73">
        <f t="shared" si="0"/>
        <v>33.960814399765098</v>
      </c>
      <c r="G9" s="74">
        <f t="shared" si="1"/>
        <v>280.05367236907739</v>
      </c>
      <c r="H9">
        <v>1200</v>
      </c>
      <c r="I9">
        <v>746</v>
      </c>
    </row>
    <row r="10" spans="1:9">
      <c r="A10" s="70">
        <v>8</v>
      </c>
      <c r="B10" s="70" t="s">
        <v>87</v>
      </c>
      <c r="C10" s="65" t="s">
        <v>82</v>
      </c>
      <c r="D10" s="72">
        <v>450.66</v>
      </c>
      <c r="E10" s="73">
        <v>155.17350248896119</v>
      </c>
      <c r="F10" s="73">
        <f t="shared" si="0"/>
        <v>21.413943343476646</v>
      </c>
      <c r="G10" s="74">
        <f t="shared" si="1"/>
        <v>176.58744583243782</v>
      </c>
      <c r="H10">
        <v>450</v>
      </c>
      <c r="I10">
        <v>450</v>
      </c>
    </row>
    <row r="11" spans="1:9">
      <c r="A11" s="70">
        <v>9</v>
      </c>
      <c r="B11" s="70" t="s">
        <v>88</v>
      </c>
      <c r="C11" s="65" t="s">
        <v>82</v>
      </c>
      <c r="D11" s="72">
        <v>452.98</v>
      </c>
      <c r="E11" s="73">
        <v>162.1794213626259</v>
      </c>
      <c r="F11" s="73">
        <f t="shared" si="0"/>
        <v>22.380760148042377</v>
      </c>
      <c r="G11" s="74">
        <f t="shared" si="1"/>
        <v>184.56018151066826</v>
      </c>
      <c r="H11">
        <v>448</v>
      </c>
      <c r="I11">
        <v>448</v>
      </c>
    </row>
    <row r="12" spans="1:9">
      <c r="A12" s="70">
        <v>10</v>
      </c>
      <c r="B12" s="70" t="s">
        <v>89</v>
      </c>
      <c r="C12" s="65" t="s">
        <v>82</v>
      </c>
      <c r="D12" s="72">
        <v>328.28</v>
      </c>
      <c r="E12" s="73">
        <v>110.86142758295199</v>
      </c>
      <c r="F12" s="73">
        <f t="shared" si="0"/>
        <v>15.298877006447375</v>
      </c>
      <c r="G12" s="74">
        <f t="shared" si="1"/>
        <v>126.16030458939936</v>
      </c>
      <c r="H12">
        <v>312</v>
      </c>
      <c r="I12">
        <v>315</v>
      </c>
    </row>
    <row r="13" spans="1:9">
      <c r="A13" s="70">
        <v>11</v>
      </c>
      <c r="B13" s="70" t="s">
        <v>90</v>
      </c>
      <c r="C13" s="65" t="s">
        <v>82</v>
      </c>
      <c r="D13" s="72">
        <v>693.1</v>
      </c>
      <c r="E13" s="73">
        <v>238.29395291217881</v>
      </c>
      <c r="F13" s="73">
        <f t="shared" si="0"/>
        <v>32.88456550188068</v>
      </c>
      <c r="G13" s="74">
        <f t="shared" si="1"/>
        <v>271.17851841405945</v>
      </c>
      <c r="H13">
        <v>783</v>
      </c>
      <c r="I13">
        <v>747</v>
      </c>
    </row>
    <row r="14" spans="1:9">
      <c r="A14" s="70">
        <v>12</v>
      </c>
      <c r="B14" s="70" t="s">
        <v>91</v>
      </c>
      <c r="C14" s="65" t="s">
        <v>82</v>
      </c>
      <c r="D14" s="72">
        <v>506.92</v>
      </c>
      <c r="E14" s="73">
        <v>175.99946284578175</v>
      </c>
      <c r="F14" s="73">
        <f t="shared" si="0"/>
        <v>24.287925872717885</v>
      </c>
      <c r="G14" s="74">
        <f t="shared" si="1"/>
        <v>200.28738871849961</v>
      </c>
      <c r="H14">
        <v>512</v>
      </c>
      <c r="I14">
        <v>500</v>
      </c>
    </row>
    <row r="15" spans="1:9">
      <c r="A15" s="75"/>
      <c r="B15" s="76" t="s">
        <v>92</v>
      </c>
      <c r="C15" s="77"/>
      <c r="D15" s="78">
        <f t="shared" ref="D15:G15" si="2">SUM(D3:D14)</f>
        <v>7035.4000000000005</v>
      </c>
      <c r="E15" s="79">
        <f t="shared" si="2"/>
        <v>2403.3265563487612</v>
      </c>
      <c r="F15" s="79">
        <f t="shared" si="2"/>
        <v>331.65906477612907</v>
      </c>
      <c r="G15" s="80">
        <f t="shared" si="2"/>
        <v>2734.9856211248903</v>
      </c>
      <c r="H15" s="339">
        <f>SUM(H3:H14)</f>
        <v>7805</v>
      </c>
    </row>
    <row r="16" spans="1:9">
      <c r="B16" s="67" t="s">
        <v>93</v>
      </c>
      <c r="C16" s="67" t="s">
        <v>73</v>
      </c>
      <c r="D16" s="67" t="s">
        <v>74</v>
      </c>
      <c r="E16" s="68" t="s">
        <v>75</v>
      </c>
      <c r="F16" s="68" t="s">
        <v>76</v>
      </c>
      <c r="G16" s="69" t="s">
        <v>77</v>
      </c>
      <c r="H16" s="68" t="s">
        <v>447</v>
      </c>
    </row>
    <row r="17" spans="1:8">
      <c r="A17" s="70">
        <v>1</v>
      </c>
      <c r="B17" s="70" t="s">
        <v>94</v>
      </c>
      <c r="C17" s="71" t="s">
        <v>79</v>
      </c>
      <c r="D17" s="72">
        <v>534.76</v>
      </c>
      <c r="E17" s="72">
        <v>187.13658933754493</v>
      </c>
      <c r="F17" s="72">
        <f t="shared" ref="F17:F26" si="3">E17*13.8%</f>
        <v>25.824849328581202</v>
      </c>
      <c r="G17" s="74">
        <f t="shared" ref="G17:G26" si="4">E17*1.138</f>
        <v>212.96143866612613</v>
      </c>
      <c r="H17">
        <v>729</v>
      </c>
    </row>
    <row r="18" spans="1:8">
      <c r="A18" s="70">
        <v>2</v>
      </c>
      <c r="B18" s="70" t="s">
        <v>95</v>
      </c>
      <c r="C18" s="71" t="s">
        <v>79</v>
      </c>
      <c r="D18" s="72">
        <v>750.52</v>
      </c>
      <c r="E18" s="72">
        <v>258.2682440414323</v>
      </c>
      <c r="F18" s="72">
        <f t="shared" si="3"/>
        <v>35.641017677717663</v>
      </c>
      <c r="G18" s="74">
        <f t="shared" si="4"/>
        <v>293.90926171914992</v>
      </c>
      <c r="H18">
        <v>748</v>
      </c>
    </row>
    <row r="19" spans="1:8">
      <c r="A19" s="70">
        <v>3</v>
      </c>
      <c r="B19" s="70" t="s">
        <v>96</v>
      </c>
      <c r="C19" s="71" t="s">
        <v>79</v>
      </c>
      <c r="D19" s="72">
        <v>1005.14</v>
      </c>
      <c r="E19" s="72">
        <v>362.85748179227835</v>
      </c>
      <c r="F19" s="72">
        <f t="shared" si="3"/>
        <v>50.074332487334416</v>
      </c>
      <c r="G19" s="74">
        <f t="shared" si="4"/>
        <v>412.93181427961275</v>
      </c>
      <c r="H19">
        <v>1100</v>
      </c>
    </row>
    <row r="20" spans="1:8">
      <c r="A20" s="70">
        <v>4</v>
      </c>
      <c r="B20" s="70" t="s">
        <v>97</v>
      </c>
      <c r="C20" s="71" t="s">
        <v>79</v>
      </c>
      <c r="D20" s="72">
        <v>638</v>
      </c>
      <c r="E20" s="72">
        <v>217.74299202550054</v>
      </c>
      <c r="F20" s="72">
        <f t="shared" si="3"/>
        <v>30.048532899519078</v>
      </c>
      <c r="G20" s="74">
        <f t="shared" si="4"/>
        <v>247.79152492501959</v>
      </c>
      <c r="H20">
        <v>636</v>
      </c>
    </row>
    <row r="21" spans="1:8">
      <c r="A21" s="70">
        <v>5</v>
      </c>
      <c r="B21" s="70" t="s">
        <v>98</v>
      </c>
      <c r="C21" s="71" t="s">
        <v>79</v>
      </c>
      <c r="D21" s="72">
        <v>787.64</v>
      </c>
      <c r="E21" s="72">
        <v>296.28573859767619</v>
      </c>
      <c r="F21" s="72">
        <f t="shared" si="3"/>
        <v>40.887431926479316</v>
      </c>
      <c r="G21" s="74">
        <f t="shared" si="4"/>
        <v>337.17317052415547</v>
      </c>
      <c r="H21">
        <v>785</v>
      </c>
    </row>
    <row r="22" spans="1:8">
      <c r="A22" s="70">
        <v>6</v>
      </c>
      <c r="B22" s="70" t="s">
        <v>99</v>
      </c>
      <c r="C22" s="71" t="s">
        <v>79</v>
      </c>
      <c r="D22" s="72">
        <v>932.64</v>
      </c>
      <c r="E22" s="72">
        <v>323.96394347045458</v>
      </c>
      <c r="F22" s="72">
        <f t="shared" si="3"/>
        <v>44.707024198922738</v>
      </c>
      <c r="G22" s="74">
        <f t="shared" si="4"/>
        <v>368.67096766937726</v>
      </c>
      <c r="H22">
        <v>1035</v>
      </c>
    </row>
    <row r="23" spans="1:8">
      <c r="A23" s="70">
        <v>7</v>
      </c>
      <c r="B23" s="70" t="s">
        <v>100</v>
      </c>
      <c r="C23" s="71" t="s">
        <v>79</v>
      </c>
      <c r="D23" s="72">
        <v>944.82</v>
      </c>
      <c r="E23" s="72">
        <v>363.20953181229396</v>
      </c>
      <c r="F23" s="72">
        <f t="shared" si="3"/>
        <v>50.122915390096573</v>
      </c>
      <c r="G23" s="74">
        <f t="shared" si="4"/>
        <v>413.33244720239048</v>
      </c>
      <c r="H23">
        <v>1200</v>
      </c>
    </row>
    <row r="24" spans="1:8">
      <c r="A24" s="70">
        <v>8</v>
      </c>
      <c r="B24" s="70" t="s">
        <v>101</v>
      </c>
      <c r="C24" s="71" t="s">
        <v>79</v>
      </c>
      <c r="D24" s="72">
        <v>501.12</v>
      </c>
      <c r="E24" s="72">
        <v>173.72345432436117</v>
      </c>
      <c r="F24" s="72">
        <f t="shared" si="3"/>
        <v>23.973836696761843</v>
      </c>
      <c r="G24" s="74">
        <f t="shared" si="4"/>
        <v>197.69729102112299</v>
      </c>
      <c r="H24">
        <v>500</v>
      </c>
    </row>
    <row r="25" spans="1:8">
      <c r="A25" s="70">
        <v>9</v>
      </c>
      <c r="B25" s="70" t="s">
        <v>102</v>
      </c>
      <c r="C25" s="71" t="s">
        <v>79</v>
      </c>
      <c r="D25" s="72">
        <v>751.68</v>
      </c>
      <c r="E25" s="72">
        <v>246.94668767888888</v>
      </c>
      <c r="F25" s="72">
        <f t="shared" si="3"/>
        <v>34.07864289968667</v>
      </c>
      <c r="G25" s="74">
        <f t="shared" si="4"/>
        <v>281.02533057857551</v>
      </c>
      <c r="H25">
        <v>750</v>
      </c>
    </row>
    <row r="26" spans="1:8">
      <c r="A26" s="70">
        <v>10</v>
      </c>
      <c r="B26" s="70" t="s">
        <v>103</v>
      </c>
      <c r="C26" s="71" t="s">
        <v>79</v>
      </c>
      <c r="D26" s="72">
        <v>800.4</v>
      </c>
      <c r="E26" s="72">
        <v>279.60706977608913</v>
      </c>
      <c r="F26" s="72">
        <f t="shared" si="3"/>
        <v>38.585775629100304</v>
      </c>
      <c r="G26" s="74">
        <f t="shared" si="4"/>
        <v>318.19284540518942</v>
      </c>
      <c r="H26">
        <v>800</v>
      </c>
    </row>
    <row r="27" spans="1:8">
      <c r="B27" s="81" t="s">
        <v>92</v>
      </c>
      <c r="C27" s="82"/>
      <c r="D27" s="83">
        <f t="shared" ref="D27:G27" si="5">SUM(D17:D26)</f>
        <v>7646.7199999999993</v>
      </c>
      <c r="E27" s="83">
        <f t="shared" si="5"/>
        <v>2709.7417328565198</v>
      </c>
      <c r="F27" s="83">
        <f t="shared" si="5"/>
        <v>373.94435913419977</v>
      </c>
      <c r="G27" s="84">
        <f t="shared" si="5"/>
        <v>3083.6860919907194</v>
      </c>
      <c r="H27" s="83">
        <f>SUM(H17:H26)</f>
        <v>8283</v>
      </c>
    </row>
    <row r="28" spans="1:8">
      <c r="B28" s="67" t="s">
        <v>104</v>
      </c>
      <c r="C28" s="67" t="s">
        <v>73</v>
      </c>
      <c r="D28" s="67" t="s">
        <v>74</v>
      </c>
      <c r="E28" s="68" t="s">
        <v>75</v>
      </c>
      <c r="F28" s="68" t="s">
        <v>76</v>
      </c>
      <c r="G28" s="69" t="s">
        <v>77</v>
      </c>
    </row>
    <row r="29" spans="1:8">
      <c r="A29" s="70">
        <v>1</v>
      </c>
      <c r="B29" s="75" t="s">
        <v>105</v>
      </c>
      <c r="C29" s="65" t="s">
        <v>82</v>
      </c>
      <c r="D29" s="72">
        <v>300.44</v>
      </c>
      <c r="E29" s="72">
        <v>108.80461734030553</v>
      </c>
      <c r="F29" s="72">
        <f t="shared" ref="F29:F41" si="6">E29*13.8%</f>
        <v>15.015037192962163</v>
      </c>
      <c r="G29" s="74">
        <f t="shared" ref="G29:G41" si="7">E29*1.138</f>
        <v>123.81965453326768</v>
      </c>
      <c r="H29">
        <v>300</v>
      </c>
    </row>
    <row r="30" spans="1:8">
      <c r="A30" s="70">
        <v>2</v>
      </c>
      <c r="B30" s="75" t="s">
        <v>106</v>
      </c>
      <c r="C30" s="65" t="s">
        <v>82</v>
      </c>
      <c r="D30" s="72">
        <v>480.24</v>
      </c>
      <c r="E30" s="72">
        <v>162.55043448412755</v>
      </c>
      <c r="F30" s="72">
        <f t="shared" si="6"/>
        <v>22.431959958809603</v>
      </c>
      <c r="G30" s="74">
        <f t="shared" si="7"/>
        <v>184.98239444293714</v>
      </c>
      <c r="H30">
        <v>480</v>
      </c>
    </row>
    <row r="31" spans="1:8">
      <c r="A31" s="70">
        <v>3</v>
      </c>
      <c r="B31" s="75" t="s">
        <v>107</v>
      </c>
      <c r="C31" s="65" t="s">
        <v>82</v>
      </c>
      <c r="D31" s="72">
        <v>457.62</v>
      </c>
      <c r="E31" s="72">
        <v>153.65767093211568</v>
      </c>
      <c r="F31" s="72">
        <f t="shared" si="6"/>
        <v>21.204758588631964</v>
      </c>
      <c r="G31" s="74">
        <f t="shared" si="7"/>
        <v>174.86242952074764</v>
      </c>
      <c r="H31">
        <v>531</v>
      </c>
    </row>
    <row r="32" spans="1:8">
      <c r="A32" s="70">
        <v>4</v>
      </c>
      <c r="B32" s="75" t="s">
        <v>108</v>
      </c>
      <c r="C32" s="65" t="s">
        <v>82</v>
      </c>
      <c r="D32" s="72">
        <v>430.36</v>
      </c>
      <c r="E32" s="72">
        <v>145.40304285116696</v>
      </c>
      <c r="F32" s="72">
        <f t="shared" si="6"/>
        <v>20.065619913461042</v>
      </c>
      <c r="G32" s="74">
        <f t="shared" si="7"/>
        <v>165.46866276462799</v>
      </c>
      <c r="H32">
        <v>430</v>
      </c>
    </row>
    <row r="33" spans="1:8">
      <c r="A33" s="70">
        <v>5</v>
      </c>
      <c r="B33" s="75" t="s">
        <v>109</v>
      </c>
      <c r="C33" s="65" t="s">
        <v>82</v>
      </c>
      <c r="D33" s="72">
        <v>375.26</v>
      </c>
      <c r="E33" s="72">
        <v>138.2012678088054</v>
      </c>
      <c r="F33" s="72">
        <f t="shared" si="6"/>
        <v>19.071774957615148</v>
      </c>
      <c r="G33" s="74">
        <f t="shared" si="7"/>
        <v>157.27304276642053</v>
      </c>
      <c r="H33">
        <v>375</v>
      </c>
    </row>
    <row r="34" spans="1:8">
      <c r="A34" s="70">
        <v>6</v>
      </c>
      <c r="B34" s="75" t="s">
        <v>110</v>
      </c>
      <c r="C34" s="65" t="s">
        <v>82</v>
      </c>
      <c r="D34" s="72">
        <v>346.84</v>
      </c>
      <c r="E34" s="72">
        <v>142.85038573213743</v>
      </c>
      <c r="F34" s="72">
        <f t="shared" si="6"/>
        <v>19.713353231034965</v>
      </c>
      <c r="G34" s="74">
        <f t="shared" si="7"/>
        <v>162.56373896317237</v>
      </c>
      <c r="H34">
        <v>355</v>
      </c>
    </row>
    <row r="35" spans="1:8">
      <c r="A35" s="70">
        <v>7</v>
      </c>
      <c r="B35" s="75" t="s">
        <v>111</v>
      </c>
      <c r="C35" s="65" t="s">
        <v>82</v>
      </c>
      <c r="D35" s="72">
        <v>501.12</v>
      </c>
      <c r="E35" s="72">
        <v>180.50602996631</v>
      </c>
      <c r="F35" s="72">
        <f t="shared" si="6"/>
        <v>24.909832135350783</v>
      </c>
      <c r="G35" s="74">
        <f t="shared" si="7"/>
        <v>205.41586210166076</v>
      </c>
      <c r="H35">
        <v>722</v>
      </c>
    </row>
    <row r="36" spans="1:8">
      <c r="A36" s="70">
        <v>8</v>
      </c>
      <c r="B36" s="75" t="s">
        <v>112</v>
      </c>
      <c r="C36" s="65" t="s">
        <v>82</v>
      </c>
      <c r="D36" s="72">
        <v>248.82</v>
      </c>
      <c r="E36" s="72">
        <v>92.527834493671264</v>
      </c>
      <c r="F36" s="72">
        <f t="shared" si="6"/>
        <v>12.768841160126636</v>
      </c>
      <c r="G36" s="74">
        <f t="shared" si="7"/>
        <v>105.29667565379789</v>
      </c>
      <c r="H36">
        <v>308</v>
      </c>
    </row>
    <row r="37" spans="1:8">
      <c r="A37" s="70">
        <v>9</v>
      </c>
      <c r="B37" s="75" t="s">
        <v>113</v>
      </c>
      <c r="C37" s="65" t="s">
        <v>82</v>
      </c>
      <c r="D37" s="72">
        <v>200.68</v>
      </c>
      <c r="E37" s="72">
        <v>77.283095750722552</v>
      </c>
      <c r="F37" s="72">
        <f t="shared" si="6"/>
        <v>10.665067213599713</v>
      </c>
      <c r="G37" s="74">
        <f t="shared" si="7"/>
        <v>87.94816296432225</v>
      </c>
      <c r="H37">
        <v>210</v>
      </c>
    </row>
    <row r="38" spans="1:8">
      <c r="A38" s="70">
        <v>10</v>
      </c>
      <c r="B38" s="75" t="s">
        <v>116</v>
      </c>
      <c r="C38" s="65" t="s">
        <v>82</v>
      </c>
      <c r="D38" s="72">
        <v>201</v>
      </c>
      <c r="E38" s="72">
        <v>69.060533114023002</v>
      </c>
      <c r="F38" s="72">
        <f t="shared" ref="F38" si="8">E38*13.8%</f>
        <v>9.5303535697351744</v>
      </c>
      <c r="G38" s="74">
        <f t="shared" ref="G38" si="9">E38*1.138</f>
        <v>78.590886683758171</v>
      </c>
      <c r="H38" s="342">
        <v>532</v>
      </c>
    </row>
    <row r="39" spans="1:8">
      <c r="A39" s="70">
        <v>11</v>
      </c>
      <c r="B39" s="75" t="s">
        <v>114</v>
      </c>
      <c r="C39" s="65" t="s">
        <v>82</v>
      </c>
      <c r="D39" s="72">
        <v>312.04000000000002</v>
      </c>
      <c r="E39" s="72">
        <v>109.19601144025049</v>
      </c>
      <c r="F39" s="72">
        <f t="shared" si="6"/>
        <v>15.069049578754569</v>
      </c>
      <c r="G39" s="74">
        <f t="shared" si="7"/>
        <v>124.26506101900505</v>
      </c>
      <c r="H39" s="342"/>
    </row>
    <row r="40" spans="1:8">
      <c r="A40" s="70">
        <v>12</v>
      </c>
      <c r="B40" s="75" t="s">
        <v>115</v>
      </c>
      <c r="C40" s="65" t="s">
        <v>82</v>
      </c>
      <c r="D40" s="72">
        <v>350</v>
      </c>
      <c r="E40" s="72">
        <v>117.83312589620182</v>
      </c>
      <c r="F40" s="72">
        <f t="shared" si="6"/>
        <v>16.260971373675854</v>
      </c>
      <c r="G40" s="74">
        <f t="shared" si="7"/>
        <v>134.09409726987766</v>
      </c>
      <c r="H40" s="341">
        <v>350</v>
      </c>
    </row>
    <row r="41" spans="1:8">
      <c r="A41" s="70">
        <v>13</v>
      </c>
      <c r="B41" s="75" t="s">
        <v>117</v>
      </c>
      <c r="C41" s="65" t="s">
        <v>82</v>
      </c>
      <c r="D41" s="72">
        <v>910.6</v>
      </c>
      <c r="E41" s="72">
        <v>308.51454429187572</v>
      </c>
      <c r="F41" s="72">
        <f t="shared" si="6"/>
        <v>42.575007112278854</v>
      </c>
      <c r="G41" s="74">
        <f t="shared" si="7"/>
        <v>351.08955140415452</v>
      </c>
      <c r="H41" s="340">
        <v>910</v>
      </c>
    </row>
    <row r="42" spans="1:8">
      <c r="B42" s="81" t="s">
        <v>92</v>
      </c>
      <c r="C42" s="82"/>
      <c r="D42" s="83">
        <f>SUM(D29:D41)</f>
        <v>5115.0200000000004</v>
      </c>
      <c r="E42" s="83">
        <f>SUM(E29:E41)</f>
        <v>1806.3885941017134</v>
      </c>
      <c r="F42" s="83">
        <f>SUM(F29:F41)</f>
        <v>249.28162598603649</v>
      </c>
      <c r="G42" s="84">
        <f>SUM(G29:G41)</f>
        <v>2055.6702200877498</v>
      </c>
    </row>
    <row r="43" spans="1:8">
      <c r="B43" s="85" t="s">
        <v>118</v>
      </c>
      <c r="C43" s="86"/>
      <c r="D43" s="87">
        <f>D42+D27+D15</f>
        <v>19797.14</v>
      </c>
      <c r="E43" s="87">
        <f>E42+E27+E15</f>
        <v>6919.4568833069943</v>
      </c>
      <c r="F43" s="87">
        <f>F42+F27+F15</f>
        <v>954.88504989636533</v>
      </c>
      <c r="G43" s="87">
        <f>G42+G27+G15</f>
        <v>7874.3419332033591</v>
      </c>
    </row>
    <row r="44" spans="1:8">
      <c r="C44" s="65" t="s">
        <v>119</v>
      </c>
      <c r="D44" s="65">
        <v>12</v>
      </c>
      <c r="E44" s="65"/>
      <c r="F44" s="65"/>
      <c r="G44" s="74">
        <f>G43*0.7</f>
        <v>5512.0393532423514</v>
      </c>
    </row>
    <row r="45" spans="1:8">
      <c r="C45" s="65" t="s">
        <v>120</v>
      </c>
      <c r="D45" s="65">
        <v>23</v>
      </c>
      <c r="E45" s="65"/>
      <c r="F45" s="65"/>
      <c r="G45" s="74">
        <f>G43-G44</f>
        <v>2362.3025799610077</v>
      </c>
    </row>
    <row r="46" spans="1:8">
      <c r="C46" s="65"/>
      <c r="D46" s="65"/>
      <c r="E46" s="65"/>
      <c r="F46" s="65"/>
      <c r="G46" s="74"/>
    </row>
    <row r="47" spans="1:8">
      <c r="C47" s="65"/>
      <c r="D47" s="65"/>
      <c r="E47" s="65"/>
      <c r="F47" s="65"/>
      <c r="G47" s="74"/>
    </row>
  </sheetData>
  <mergeCells count="1">
    <mergeCell ref="H38:H39"/>
  </mergeCells>
  <pageMargins left="0.7" right="0.7" top="0.75" bottom="0.75" header="0" footer="0"/>
  <pageSetup orientation="landscape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D38"/>
  <sheetViews>
    <sheetView workbookViewId="0">
      <selection activeCell="F6" sqref="F6"/>
    </sheetView>
  </sheetViews>
  <sheetFormatPr defaultColWidth="11.25" defaultRowHeight="15" customHeight="1"/>
  <cols>
    <col min="1" max="1" width="2.875" customWidth="1"/>
    <col min="2" max="2" width="58.625" customWidth="1"/>
    <col min="3" max="3" width="11.5" customWidth="1"/>
    <col min="4" max="4" width="10.375" customWidth="1"/>
  </cols>
  <sheetData>
    <row r="1" spans="1:4">
      <c r="A1" s="88" t="s">
        <v>46</v>
      </c>
      <c r="B1" s="88" t="s">
        <v>121</v>
      </c>
      <c r="C1" s="88" t="s">
        <v>73</v>
      </c>
      <c r="D1" s="89" t="s">
        <v>74</v>
      </c>
    </row>
    <row r="2" spans="1:4">
      <c r="A2" s="90">
        <v>1</v>
      </c>
      <c r="B2" s="90" t="s">
        <v>78</v>
      </c>
      <c r="C2" s="90" t="s">
        <v>122</v>
      </c>
      <c r="D2" s="91">
        <v>1566</v>
      </c>
    </row>
    <row r="3" spans="1:4">
      <c r="A3" s="90">
        <f t="shared" ref="A3:A36" si="0">A2+1</f>
        <v>2</v>
      </c>
      <c r="B3" s="90" t="s">
        <v>80</v>
      </c>
      <c r="C3" s="90" t="s">
        <v>122</v>
      </c>
      <c r="D3" s="91">
        <v>1099.6799999999998</v>
      </c>
    </row>
    <row r="4" spans="1:4">
      <c r="A4" s="90">
        <f t="shared" si="0"/>
        <v>3</v>
      </c>
      <c r="B4" s="90" t="s">
        <v>96</v>
      </c>
      <c r="C4" s="90" t="s">
        <v>122</v>
      </c>
      <c r="D4" s="91">
        <v>1005.14</v>
      </c>
    </row>
    <row r="5" spans="1:4">
      <c r="A5" s="90">
        <f t="shared" si="0"/>
        <v>4</v>
      </c>
      <c r="B5" s="90" t="s">
        <v>100</v>
      </c>
      <c r="C5" s="90" t="s">
        <v>122</v>
      </c>
      <c r="D5" s="91">
        <v>944.82</v>
      </c>
    </row>
    <row r="6" spans="1:4">
      <c r="A6" s="90">
        <f t="shared" si="0"/>
        <v>5</v>
      </c>
      <c r="B6" s="90" t="s">
        <v>99</v>
      </c>
      <c r="C6" s="90" t="s">
        <v>122</v>
      </c>
      <c r="D6" s="91">
        <v>932.64</v>
      </c>
    </row>
    <row r="7" spans="1:4">
      <c r="A7" s="90">
        <f t="shared" si="0"/>
        <v>6</v>
      </c>
      <c r="B7" s="90" t="s">
        <v>117</v>
      </c>
      <c r="C7" s="90" t="s">
        <v>123</v>
      </c>
      <c r="D7" s="91">
        <v>910.6</v>
      </c>
    </row>
    <row r="8" spans="1:4">
      <c r="A8" s="90">
        <f t="shared" si="0"/>
        <v>7</v>
      </c>
      <c r="B8" s="90" t="s">
        <v>103</v>
      </c>
      <c r="C8" s="90" t="s">
        <v>122</v>
      </c>
      <c r="D8" s="91">
        <v>800.4</v>
      </c>
    </row>
    <row r="9" spans="1:4">
      <c r="A9" s="90">
        <f t="shared" si="0"/>
        <v>8</v>
      </c>
      <c r="B9" s="90" t="s">
        <v>98</v>
      </c>
      <c r="C9" s="90" t="s">
        <v>122</v>
      </c>
      <c r="D9" s="91">
        <v>787.64</v>
      </c>
    </row>
    <row r="10" spans="1:4">
      <c r="A10" s="90">
        <f t="shared" si="0"/>
        <v>9</v>
      </c>
      <c r="B10" s="90" t="s">
        <v>102</v>
      </c>
      <c r="C10" s="90" t="s">
        <v>122</v>
      </c>
      <c r="D10" s="91">
        <v>751.68</v>
      </c>
    </row>
    <row r="11" spans="1:4">
      <c r="A11" s="90">
        <f t="shared" si="0"/>
        <v>10</v>
      </c>
      <c r="B11" s="90" t="s">
        <v>95</v>
      </c>
      <c r="C11" s="90" t="s">
        <v>122</v>
      </c>
      <c r="D11" s="91">
        <v>750.52</v>
      </c>
    </row>
    <row r="12" spans="1:4">
      <c r="A12" s="90">
        <f t="shared" si="0"/>
        <v>11</v>
      </c>
      <c r="B12" s="90" t="s">
        <v>86</v>
      </c>
      <c r="C12" s="90" t="s">
        <v>123</v>
      </c>
      <c r="D12" s="91">
        <v>693.1</v>
      </c>
    </row>
    <row r="13" spans="1:4">
      <c r="A13" s="90">
        <f t="shared" si="0"/>
        <v>12</v>
      </c>
      <c r="B13" s="90" t="s">
        <v>90</v>
      </c>
      <c r="C13" s="90" t="s">
        <v>123</v>
      </c>
      <c r="D13" s="91">
        <v>693.1</v>
      </c>
    </row>
    <row r="14" spans="1:4">
      <c r="A14" s="90">
        <f t="shared" si="0"/>
        <v>13</v>
      </c>
      <c r="B14" s="90" t="s">
        <v>97</v>
      </c>
      <c r="C14" s="90" t="s">
        <v>122</v>
      </c>
      <c r="D14" s="91">
        <v>638</v>
      </c>
    </row>
    <row r="15" spans="1:4">
      <c r="A15" s="90">
        <f t="shared" si="0"/>
        <v>14</v>
      </c>
      <c r="B15" s="90" t="s">
        <v>94</v>
      </c>
      <c r="C15" s="90" t="s">
        <v>122</v>
      </c>
      <c r="D15" s="91">
        <v>534.76</v>
      </c>
    </row>
    <row r="16" spans="1:4">
      <c r="A16" s="90">
        <f t="shared" si="0"/>
        <v>15</v>
      </c>
      <c r="B16" s="90" t="s">
        <v>91</v>
      </c>
      <c r="C16" s="90" t="s">
        <v>123</v>
      </c>
      <c r="D16" s="91">
        <v>506.92</v>
      </c>
    </row>
    <row r="17" spans="1:4">
      <c r="A17" s="90">
        <f t="shared" si="0"/>
        <v>16</v>
      </c>
      <c r="B17" s="90" t="s">
        <v>81</v>
      </c>
      <c r="C17" s="90" t="s">
        <v>123</v>
      </c>
      <c r="D17" s="91">
        <v>502.28</v>
      </c>
    </row>
    <row r="18" spans="1:4">
      <c r="A18" s="90">
        <f t="shared" si="0"/>
        <v>17</v>
      </c>
      <c r="B18" s="90" t="s">
        <v>101</v>
      </c>
      <c r="C18" s="90" t="s">
        <v>122</v>
      </c>
      <c r="D18" s="91">
        <v>501.12</v>
      </c>
    </row>
    <row r="19" spans="1:4">
      <c r="A19" s="90">
        <f t="shared" si="0"/>
        <v>18</v>
      </c>
      <c r="B19" s="90" t="s">
        <v>111</v>
      </c>
      <c r="C19" s="90" t="s">
        <v>123</v>
      </c>
      <c r="D19" s="91">
        <v>501.12</v>
      </c>
    </row>
    <row r="20" spans="1:4">
      <c r="A20" s="90">
        <f t="shared" si="0"/>
        <v>19</v>
      </c>
      <c r="B20" s="90" t="s">
        <v>106</v>
      </c>
      <c r="C20" s="90" t="s">
        <v>123</v>
      </c>
      <c r="D20" s="91">
        <v>480.24</v>
      </c>
    </row>
    <row r="21" spans="1:4">
      <c r="A21" s="90">
        <f t="shared" si="0"/>
        <v>20</v>
      </c>
      <c r="B21" s="90" t="s">
        <v>107</v>
      </c>
      <c r="C21" s="90" t="s">
        <v>123</v>
      </c>
      <c r="D21" s="91">
        <v>457.62</v>
      </c>
    </row>
    <row r="22" spans="1:4">
      <c r="A22" s="90">
        <f t="shared" si="0"/>
        <v>21</v>
      </c>
      <c r="B22" s="90" t="s">
        <v>88</v>
      </c>
      <c r="C22" s="90" t="s">
        <v>123</v>
      </c>
      <c r="D22" s="91">
        <v>452.98</v>
      </c>
    </row>
    <row r="23" spans="1:4">
      <c r="A23" s="90">
        <f t="shared" si="0"/>
        <v>22</v>
      </c>
      <c r="B23" s="90" t="s">
        <v>87</v>
      </c>
      <c r="C23" s="90" t="s">
        <v>123</v>
      </c>
      <c r="D23" s="91">
        <v>450.66</v>
      </c>
    </row>
    <row r="24" spans="1:4">
      <c r="A24" s="90">
        <f t="shared" si="0"/>
        <v>23</v>
      </c>
      <c r="B24" s="90" t="s">
        <v>83</v>
      </c>
      <c r="C24" s="90" t="s">
        <v>123</v>
      </c>
      <c r="D24" s="91">
        <v>436.16</v>
      </c>
    </row>
    <row r="25" spans="1:4">
      <c r="A25" s="90">
        <f t="shared" si="0"/>
        <v>24</v>
      </c>
      <c r="B25" s="90" t="s">
        <v>108</v>
      </c>
      <c r="C25" s="90" t="s">
        <v>123</v>
      </c>
      <c r="D25" s="91">
        <v>430.36</v>
      </c>
    </row>
    <row r="26" spans="1:4">
      <c r="A26" s="90">
        <f t="shared" si="0"/>
        <v>25</v>
      </c>
      <c r="B26" s="90" t="s">
        <v>109</v>
      </c>
      <c r="C26" s="90" t="s">
        <v>123</v>
      </c>
      <c r="D26" s="91">
        <v>375.26</v>
      </c>
    </row>
    <row r="27" spans="1:4">
      <c r="A27" s="90">
        <f t="shared" si="0"/>
        <v>26</v>
      </c>
      <c r="B27" s="90" t="s">
        <v>116</v>
      </c>
      <c r="C27" s="90" t="s">
        <v>123</v>
      </c>
      <c r="D27" s="91">
        <v>350.32</v>
      </c>
    </row>
    <row r="28" spans="1:4">
      <c r="A28" s="90">
        <f t="shared" si="0"/>
        <v>27</v>
      </c>
      <c r="B28" s="90" t="s">
        <v>110</v>
      </c>
      <c r="C28" s="90" t="s">
        <v>123</v>
      </c>
      <c r="D28" s="91">
        <v>346.84</v>
      </c>
    </row>
    <row r="29" spans="1:4">
      <c r="A29" s="90">
        <f t="shared" si="0"/>
        <v>28</v>
      </c>
      <c r="B29" s="90" t="s">
        <v>89</v>
      </c>
      <c r="C29" s="90" t="s">
        <v>123</v>
      </c>
      <c r="D29" s="91">
        <v>328.28</v>
      </c>
    </row>
    <row r="30" spans="1:4">
      <c r="A30" s="90">
        <f t="shared" si="0"/>
        <v>29</v>
      </c>
      <c r="B30" s="90" t="s">
        <v>114</v>
      </c>
      <c r="C30" s="90" t="s">
        <v>123</v>
      </c>
      <c r="D30" s="91">
        <v>312.04000000000002</v>
      </c>
    </row>
    <row r="31" spans="1:4">
      <c r="A31" s="90">
        <f t="shared" si="0"/>
        <v>30</v>
      </c>
      <c r="B31" s="90" t="s">
        <v>105</v>
      </c>
      <c r="C31" s="90" t="s">
        <v>123</v>
      </c>
      <c r="D31" s="91">
        <v>300.44</v>
      </c>
    </row>
    <row r="32" spans="1:4">
      <c r="A32" s="90">
        <f t="shared" si="0"/>
        <v>31</v>
      </c>
      <c r="B32" s="90" t="s">
        <v>112</v>
      </c>
      <c r="C32" s="90" t="s">
        <v>123</v>
      </c>
      <c r="D32" s="91">
        <v>248.82</v>
      </c>
    </row>
    <row r="33" spans="1:4">
      <c r="A33" s="90">
        <f t="shared" si="0"/>
        <v>32</v>
      </c>
      <c r="B33" s="90" t="s">
        <v>85</v>
      </c>
      <c r="C33" s="90" t="s">
        <v>123</v>
      </c>
      <c r="D33" s="91">
        <v>205.32</v>
      </c>
    </row>
    <row r="34" spans="1:4">
      <c r="A34" s="90">
        <f t="shared" si="0"/>
        <v>33</v>
      </c>
      <c r="B34" s="90" t="s">
        <v>113</v>
      </c>
      <c r="C34" s="90" t="s">
        <v>123</v>
      </c>
      <c r="D34" s="91">
        <v>200.68</v>
      </c>
    </row>
    <row r="35" spans="1:4">
      <c r="A35" s="90">
        <f t="shared" si="0"/>
        <v>34</v>
      </c>
      <c r="B35" s="90" t="s">
        <v>115</v>
      </c>
      <c r="C35" s="90" t="s">
        <v>123</v>
      </c>
      <c r="D35" s="91">
        <v>200.68</v>
      </c>
    </row>
    <row r="36" spans="1:4">
      <c r="A36" s="90">
        <f t="shared" si="0"/>
        <v>35</v>
      </c>
      <c r="B36" s="90" t="s">
        <v>84</v>
      </c>
      <c r="C36" s="90" t="s">
        <v>123</v>
      </c>
      <c r="D36" s="91">
        <v>100.92</v>
      </c>
    </row>
    <row r="37" spans="1:4">
      <c r="A37" s="90"/>
      <c r="B37" s="90" t="s">
        <v>124</v>
      </c>
      <c r="C37" s="90" t="s">
        <v>58</v>
      </c>
      <c r="D37" s="91">
        <v>203</v>
      </c>
    </row>
    <row r="38" spans="1:4">
      <c r="A38" s="90"/>
      <c r="B38" s="92" t="s">
        <v>118</v>
      </c>
      <c r="C38" s="92" t="s">
        <v>58</v>
      </c>
      <c r="D38" s="93">
        <f>SUM(D2:D37)</f>
        <v>20000.14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H42"/>
  <sheetViews>
    <sheetView topLeftCell="A17" workbookViewId="0">
      <selection activeCell="G41" sqref="G41"/>
    </sheetView>
  </sheetViews>
  <sheetFormatPr defaultColWidth="11.25" defaultRowHeight="15" customHeight="1"/>
  <cols>
    <col min="1" max="1" width="2.875" customWidth="1"/>
    <col min="2" max="2" width="38.125" customWidth="1"/>
    <col min="3" max="3" width="8.75" customWidth="1"/>
    <col min="5" max="5" width="9.125" customWidth="1"/>
    <col min="6" max="7" width="12.875" customWidth="1"/>
  </cols>
  <sheetData>
    <row r="1" spans="1:8">
      <c r="A1" s="94" t="s">
        <v>46</v>
      </c>
      <c r="B1" s="95" t="s">
        <v>121</v>
      </c>
      <c r="C1" s="95" t="s">
        <v>73</v>
      </c>
      <c r="D1" s="95" t="s">
        <v>74</v>
      </c>
      <c r="E1" s="95" t="s">
        <v>125</v>
      </c>
      <c r="F1" s="96" t="s">
        <v>126</v>
      </c>
      <c r="G1" s="97" t="s">
        <v>127</v>
      </c>
      <c r="H1" s="95" t="s">
        <v>128</v>
      </c>
    </row>
    <row r="2" spans="1:8">
      <c r="A2" s="98">
        <v>1</v>
      </c>
      <c r="B2" s="98" t="s">
        <v>78</v>
      </c>
      <c r="C2" s="98" t="s">
        <v>79</v>
      </c>
      <c r="D2" s="99">
        <v>1566</v>
      </c>
      <c r="E2" s="100" t="s">
        <v>72</v>
      </c>
      <c r="F2" s="100">
        <f>1306.6+972.9</f>
        <v>2279.5</v>
      </c>
      <c r="G2" s="101">
        <f>F2*1000</f>
        <v>2279500</v>
      </c>
      <c r="H2" s="100">
        <f>928+723</f>
        <v>1651</v>
      </c>
    </row>
    <row r="3" spans="1:8">
      <c r="A3" s="98">
        <v>2</v>
      </c>
      <c r="B3" s="98" t="s">
        <v>80</v>
      </c>
      <c r="C3" s="98" t="s">
        <v>79</v>
      </c>
      <c r="D3" s="99">
        <v>1099.6799999999998</v>
      </c>
      <c r="E3" s="100" t="s">
        <v>72</v>
      </c>
      <c r="F3" s="100">
        <f>1024+491.8</f>
        <v>1515.8</v>
      </c>
      <c r="G3" s="101">
        <f t="shared" ref="G3:G36" si="0">F3*1000</f>
        <v>1515800</v>
      </c>
      <c r="H3" s="100">
        <f>726+373</f>
        <v>1099</v>
      </c>
    </row>
    <row r="4" spans="1:8">
      <c r="A4" s="98">
        <v>3</v>
      </c>
      <c r="B4" s="98" t="s">
        <v>81</v>
      </c>
      <c r="C4" s="98" t="s">
        <v>82</v>
      </c>
      <c r="D4" s="99">
        <v>502.28</v>
      </c>
      <c r="E4" s="100" t="s">
        <v>72</v>
      </c>
      <c r="F4" s="100">
        <v>762.4</v>
      </c>
      <c r="G4" s="101">
        <f t="shared" si="0"/>
        <v>762400</v>
      </c>
      <c r="H4" s="100">
        <v>520</v>
      </c>
    </row>
    <row r="5" spans="1:8">
      <c r="A5" s="98">
        <v>4</v>
      </c>
      <c r="B5" s="98" t="s">
        <v>83</v>
      </c>
      <c r="C5" s="98" t="s">
        <v>82</v>
      </c>
      <c r="D5" s="99">
        <v>436.16</v>
      </c>
      <c r="E5" s="100" t="s">
        <v>72</v>
      </c>
      <c r="F5" s="100">
        <v>623.70000000000005</v>
      </c>
      <c r="G5" s="101">
        <f t="shared" si="0"/>
        <v>623700</v>
      </c>
      <c r="H5" s="100">
        <v>452</v>
      </c>
    </row>
    <row r="6" spans="1:8">
      <c r="A6" s="98">
        <v>5</v>
      </c>
      <c r="B6" s="98" t="s">
        <v>84</v>
      </c>
      <c r="C6" s="98" t="s">
        <v>82</v>
      </c>
      <c r="D6" s="99">
        <v>100.92</v>
      </c>
      <c r="E6" s="100" t="s">
        <v>72</v>
      </c>
      <c r="F6" s="100">
        <v>147.47</v>
      </c>
      <c r="G6" s="101">
        <f t="shared" si="0"/>
        <v>147470</v>
      </c>
      <c r="H6" s="100">
        <v>101</v>
      </c>
    </row>
    <row r="7" spans="1:8">
      <c r="A7" s="98">
        <v>6</v>
      </c>
      <c r="B7" s="98" t="s">
        <v>85</v>
      </c>
      <c r="C7" s="98" t="s">
        <v>82</v>
      </c>
      <c r="D7" s="99">
        <v>205.32</v>
      </c>
      <c r="E7" s="100" t="s">
        <v>72</v>
      </c>
      <c r="F7" s="100">
        <v>275.10000000000002</v>
      </c>
      <c r="G7" s="101">
        <f t="shared" si="0"/>
        <v>275100</v>
      </c>
      <c r="H7" s="100">
        <v>204</v>
      </c>
    </row>
    <row r="8" spans="1:8">
      <c r="A8" s="98">
        <v>7</v>
      </c>
      <c r="B8" s="98" t="s">
        <v>86</v>
      </c>
      <c r="C8" s="98" t="s">
        <v>82</v>
      </c>
      <c r="D8" s="99">
        <v>693.1</v>
      </c>
      <c r="E8" s="100" t="s">
        <v>72</v>
      </c>
      <c r="F8" s="100">
        <v>1093.5999999999999</v>
      </c>
      <c r="G8" s="101">
        <f t="shared" si="0"/>
        <v>1093600</v>
      </c>
      <c r="H8" s="100">
        <v>746</v>
      </c>
    </row>
    <row r="9" spans="1:8">
      <c r="A9" s="98">
        <v>8</v>
      </c>
      <c r="B9" s="98" t="s">
        <v>87</v>
      </c>
      <c r="C9" s="98" t="s">
        <v>82</v>
      </c>
      <c r="D9" s="99">
        <v>450.66</v>
      </c>
      <c r="E9" s="100" t="s">
        <v>72</v>
      </c>
      <c r="F9" s="100">
        <v>582.5</v>
      </c>
      <c r="G9" s="101">
        <f t="shared" si="0"/>
        <v>582500</v>
      </c>
      <c r="H9" s="100">
        <v>450</v>
      </c>
    </row>
    <row r="10" spans="1:8">
      <c r="A10" s="98">
        <v>9</v>
      </c>
      <c r="B10" s="98" t="s">
        <v>88</v>
      </c>
      <c r="C10" s="98" t="s">
        <v>82</v>
      </c>
      <c r="D10" s="99">
        <v>452.98</v>
      </c>
      <c r="E10" s="100" t="s">
        <v>72</v>
      </c>
      <c r="F10" s="100">
        <v>672.9</v>
      </c>
      <c r="G10" s="101">
        <f t="shared" si="0"/>
        <v>672900</v>
      </c>
      <c r="H10" s="100">
        <v>448</v>
      </c>
    </row>
    <row r="11" spans="1:8">
      <c r="A11" s="98">
        <v>10</v>
      </c>
      <c r="B11" s="98" t="s">
        <v>89</v>
      </c>
      <c r="C11" s="98" t="s">
        <v>82</v>
      </c>
      <c r="D11" s="99">
        <v>328.28</v>
      </c>
      <c r="E11" s="100" t="s">
        <v>72</v>
      </c>
      <c r="F11" s="100">
        <v>433.3</v>
      </c>
      <c r="G11" s="101">
        <f t="shared" si="0"/>
        <v>433300</v>
      </c>
      <c r="H11" s="100">
        <v>315</v>
      </c>
    </row>
    <row r="12" spans="1:8">
      <c r="A12" s="98">
        <v>11</v>
      </c>
      <c r="B12" s="98" t="s">
        <v>90</v>
      </c>
      <c r="C12" s="98" t="s">
        <v>82</v>
      </c>
      <c r="D12" s="99">
        <v>693.1</v>
      </c>
      <c r="E12" s="100" t="s">
        <v>72</v>
      </c>
      <c r="F12" s="100">
        <v>1111.7</v>
      </c>
      <c r="G12" s="101">
        <f t="shared" si="0"/>
        <v>1111700</v>
      </c>
      <c r="H12" s="100">
        <v>746</v>
      </c>
    </row>
    <row r="13" spans="1:8">
      <c r="A13" s="98">
        <v>12</v>
      </c>
      <c r="B13" s="98" t="s">
        <v>91</v>
      </c>
      <c r="C13" s="98" t="s">
        <v>82</v>
      </c>
      <c r="D13" s="99">
        <v>506.92</v>
      </c>
      <c r="E13" s="100" t="s">
        <v>72</v>
      </c>
      <c r="F13" s="100">
        <v>759.3</v>
      </c>
      <c r="G13" s="101">
        <f t="shared" si="0"/>
        <v>759300</v>
      </c>
      <c r="H13" s="100">
        <v>499</v>
      </c>
    </row>
    <row r="14" spans="1:8">
      <c r="A14" s="98">
        <v>1</v>
      </c>
      <c r="B14" s="98" t="s">
        <v>94</v>
      </c>
      <c r="C14" s="98" t="s">
        <v>79</v>
      </c>
      <c r="D14" s="99">
        <v>534.76</v>
      </c>
      <c r="E14" s="99" t="s">
        <v>129</v>
      </c>
      <c r="F14" s="100">
        <v>792.5</v>
      </c>
      <c r="G14" s="101">
        <f t="shared" si="0"/>
        <v>792500</v>
      </c>
      <c r="H14" s="102">
        <v>534</v>
      </c>
    </row>
    <row r="15" spans="1:8">
      <c r="A15" s="98">
        <v>2</v>
      </c>
      <c r="B15" s="98" t="s">
        <v>95</v>
      </c>
      <c r="C15" s="98" t="s">
        <v>79</v>
      </c>
      <c r="D15" s="99">
        <v>750.52</v>
      </c>
      <c r="E15" s="99" t="s">
        <v>129</v>
      </c>
      <c r="F15" s="100">
        <f>540.7+620.7</f>
        <v>1161.4000000000001</v>
      </c>
      <c r="G15" s="101">
        <f t="shared" si="0"/>
        <v>1161400</v>
      </c>
      <c r="H15" s="102">
        <f>363+387</f>
        <v>750</v>
      </c>
    </row>
    <row r="16" spans="1:8">
      <c r="A16" s="98">
        <v>3</v>
      </c>
      <c r="B16" s="98" t="s">
        <v>96</v>
      </c>
      <c r="C16" s="98" t="s">
        <v>79</v>
      </c>
      <c r="D16" s="99">
        <v>1005.14</v>
      </c>
      <c r="E16" s="99" t="s">
        <v>129</v>
      </c>
      <c r="F16" s="100">
        <f>392.4+916.7</f>
        <v>1309.0999999999999</v>
      </c>
      <c r="G16" s="101">
        <f t="shared" si="0"/>
        <v>1309100</v>
      </c>
      <c r="H16" s="102">
        <f>301+704</f>
        <v>1005</v>
      </c>
    </row>
    <row r="17" spans="1:8">
      <c r="A17" s="98">
        <v>4</v>
      </c>
      <c r="B17" s="98" t="s">
        <v>97</v>
      </c>
      <c r="C17" s="98" t="s">
        <v>79</v>
      </c>
      <c r="D17" s="99">
        <v>638</v>
      </c>
      <c r="E17" s="99" t="s">
        <v>129</v>
      </c>
      <c r="F17" s="100">
        <f>556.3+289.4</f>
        <v>845.69999999999993</v>
      </c>
      <c r="G17" s="101">
        <f t="shared" si="0"/>
        <v>845699.99999999988</v>
      </c>
      <c r="H17" s="102">
        <f>424+214</f>
        <v>638</v>
      </c>
    </row>
    <row r="18" spans="1:8">
      <c r="A18" s="98">
        <v>5</v>
      </c>
      <c r="B18" s="98" t="s">
        <v>98</v>
      </c>
      <c r="C18" s="98" t="s">
        <v>79</v>
      </c>
      <c r="D18" s="99">
        <v>787.64</v>
      </c>
      <c r="E18" s="99" t="s">
        <v>129</v>
      </c>
      <c r="F18" s="100">
        <f>534.4+100.22+509.1</f>
        <v>1143.72</v>
      </c>
      <c r="G18" s="101">
        <f t="shared" si="0"/>
        <v>1143720</v>
      </c>
      <c r="H18" s="102">
        <f>368+69.6+350</f>
        <v>787.6</v>
      </c>
    </row>
    <row r="19" spans="1:8">
      <c r="A19" s="98">
        <v>6</v>
      </c>
      <c r="B19" s="98" t="s">
        <v>99</v>
      </c>
      <c r="C19" s="98" t="s">
        <v>79</v>
      </c>
      <c r="D19" s="99">
        <v>932.64</v>
      </c>
      <c r="E19" s="99" t="s">
        <v>129</v>
      </c>
      <c r="F19" s="100">
        <f>759.7+647.9</f>
        <v>1407.6</v>
      </c>
      <c r="G19" s="101">
        <f t="shared" si="0"/>
        <v>1407600</v>
      </c>
      <c r="H19" s="102">
        <f>506+427</f>
        <v>933</v>
      </c>
    </row>
    <row r="20" spans="1:8">
      <c r="A20" s="98">
        <v>7</v>
      </c>
      <c r="B20" s="98" t="s">
        <v>100</v>
      </c>
      <c r="C20" s="98" t="s">
        <v>79</v>
      </c>
      <c r="D20" s="99">
        <v>944.82</v>
      </c>
      <c r="E20" s="99" t="s">
        <v>129</v>
      </c>
      <c r="F20" s="100">
        <f>131.28+790.4+420.5</f>
        <v>1342.1799999999998</v>
      </c>
      <c r="G20" s="101">
        <f t="shared" si="0"/>
        <v>1342179.9999999998</v>
      </c>
      <c r="H20" s="102">
        <f>552+95+289</f>
        <v>936</v>
      </c>
    </row>
    <row r="21" spans="1:8">
      <c r="A21" s="98">
        <v>8</v>
      </c>
      <c r="B21" s="98" t="s">
        <v>101</v>
      </c>
      <c r="C21" s="98" t="s">
        <v>79</v>
      </c>
      <c r="D21" s="99">
        <v>501.12</v>
      </c>
      <c r="E21" s="99" t="s">
        <v>129</v>
      </c>
      <c r="F21" s="100">
        <v>772.4</v>
      </c>
      <c r="G21" s="101">
        <f t="shared" si="0"/>
        <v>772400</v>
      </c>
      <c r="H21" s="102">
        <v>501</v>
      </c>
    </row>
    <row r="22" spans="1:8">
      <c r="A22" s="98">
        <v>9</v>
      </c>
      <c r="B22" s="98" t="s">
        <v>102</v>
      </c>
      <c r="C22" s="98" t="s">
        <v>79</v>
      </c>
      <c r="D22" s="99">
        <v>751.68</v>
      </c>
      <c r="E22" s="99" t="s">
        <v>129</v>
      </c>
      <c r="F22" s="100">
        <v>1063.2</v>
      </c>
      <c r="G22" s="101">
        <f t="shared" si="0"/>
        <v>1063200</v>
      </c>
      <c r="H22" s="102">
        <v>752</v>
      </c>
    </row>
    <row r="23" spans="1:8">
      <c r="A23" s="98">
        <v>10</v>
      </c>
      <c r="B23" s="98" t="s">
        <v>103</v>
      </c>
      <c r="C23" s="98" t="s">
        <v>79</v>
      </c>
      <c r="D23" s="99">
        <v>800.4</v>
      </c>
      <c r="E23" s="99" t="s">
        <v>129</v>
      </c>
      <c r="F23" s="100">
        <f>404+737.6</f>
        <v>1141.5999999999999</v>
      </c>
      <c r="G23" s="101">
        <f t="shared" si="0"/>
        <v>1141600</v>
      </c>
      <c r="H23" s="102">
        <f>521+280</f>
        <v>801</v>
      </c>
    </row>
    <row r="24" spans="1:8">
      <c r="A24" s="98">
        <v>1</v>
      </c>
      <c r="B24" s="98" t="s">
        <v>105</v>
      </c>
      <c r="C24" s="98" t="s">
        <v>82</v>
      </c>
      <c r="D24" s="99">
        <v>300.44</v>
      </c>
      <c r="E24" s="99" t="s">
        <v>130</v>
      </c>
      <c r="F24" s="100">
        <v>430.7</v>
      </c>
      <c r="G24" s="101">
        <f t="shared" si="0"/>
        <v>430700</v>
      </c>
      <c r="H24" s="102">
        <v>300</v>
      </c>
    </row>
    <row r="25" spans="1:8">
      <c r="A25" s="98">
        <v>2</v>
      </c>
      <c r="B25" s="98" t="s">
        <v>106</v>
      </c>
      <c r="C25" s="98" t="s">
        <v>82</v>
      </c>
      <c r="D25" s="99">
        <v>480.24</v>
      </c>
      <c r="E25" s="99" t="s">
        <v>130</v>
      </c>
      <c r="F25" s="100">
        <v>701.3</v>
      </c>
      <c r="G25" s="101">
        <f t="shared" si="0"/>
        <v>701300</v>
      </c>
      <c r="H25" s="99">
        <v>480.24</v>
      </c>
    </row>
    <row r="26" spans="1:8">
      <c r="A26" s="98">
        <v>3</v>
      </c>
      <c r="B26" s="98" t="s">
        <v>107</v>
      </c>
      <c r="C26" s="98" t="s">
        <v>82</v>
      </c>
      <c r="D26" s="99">
        <v>457.62</v>
      </c>
      <c r="E26" s="99" t="s">
        <v>130</v>
      </c>
      <c r="F26" s="100">
        <v>649.6</v>
      </c>
      <c r="G26" s="101">
        <f t="shared" si="0"/>
        <v>649600</v>
      </c>
      <c r="H26" s="99">
        <v>457.62</v>
      </c>
    </row>
    <row r="27" spans="1:8">
      <c r="A27" s="98">
        <v>4</v>
      </c>
      <c r="B27" s="98" t="s">
        <v>108</v>
      </c>
      <c r="C27" s="98" t="s">
        <v>82</v>
      </c>
      <c r="D27" s="99">
        <v>430.36</v>
      </c>
      <c r="E27" s="99" t="s">
        <v>130</v>
      </c>
      <c r="F27" s="100">
        <v>647.29999999999995</v>
      </c>
      <c r="G27" s="101">
        <f t="shared" si="0"/>
        <v>647300</v>
      </c>
      <c r="H27" s="99">
        <v>430.36</v>
      </c>
    </row>
    <row r="28" spans="1:8">
      <c r="A28" s="98">
        <v>5</v>
      </c>
      <c r="B28" s="98" t="s">
        <v>109</v>
      </c>
      <c r="C28" s="98" t="s">
        <v>82</v>
      </c>
      <c r="D28" s="99">
        <v>375.26</v>
      </c>
      <c r="E28" s="99" t="s">
        <v>130</v>
      </c>
      <c r="F28" s="100">
        <v>554.70000000000005</v>
      </c>
      <c r="G28" s="101">
        <f t="shared" si="0"/>
        <v>554700</v>
      </c>
      <c r="H28" s="99">
        <v>375.26</v>
      </c>
    </row>
    <row r="29" spans="1:8">
      <c r="A29" s="98">
        <v>6</v>
      </c>
      <c r="B29" s="98" t="s">
        <v>110</v>
      </c>
      <c r="C29" s="98" t="s">
        <v>82</v>
      </c>
      <c r="D29" s="99">
        <v>346.84</v>
      </c>
      <c r="E29" s="99" t="s">
        <v>130</v>
      </c>
      <c r="F29" s="100">
        <v>481.7</v>
      </c>
      <c r="G29" s="101">
        <f t="shared" si="0"/>
        <v>481700</v>
      </c>
      <c r="H29" s="99">
        <v>346.84</v>
      </c>
    </row>
    <row r="30" spans="1:8">
      <c r="A30" s="98">
        <v>7</v>
      </c>
      <c r="B30" s="98" t="s">
        <v>111</v>
      </c>
      <c r="C30" s="98" t="s">
        <v>82</v>
      </c>
      <c r="D30" s="99">
        <v>501.12</v>
      </c>
      <c r="E30" s="99" t="s">
        <v>130</v>
      </c>
      <c r="F30" s="100">
        <f>357.7*2</f>
        <v>715.4</v>
      </c>
      <c r="G30" s="101">
        <f t="shared" si="0"/>
        <v>715400</v>
      </c>
      <c r="H30" s="99">
        <v>501.12</v>
      </c>
    </row>
    <row r="31" spans="1:8">
      <c r="A31" s="98">
        <v>8</v>
      </c>
      <c r="B31" s="98" t="s">
        <v>112</v>
      </c>
      <c r="C31" s="98" t="s">
        <v>82</v>
      </c>
      <c r="D31" s="99">
        <v>248.82</v>
      </c>
      <c r="E31" s="99" t="s">
        <v>130</v>
      </c>
      <c r="F31" s="100">
        <v>370.3</v>
      </c>
      <c r="G31" s="101">
        <f>F31*1000</f>
        <v>370300</v>
      </c>
      <c r="H31" s="99">
        <v>248.82</v>
      </c>
    </row>
    <row r="32" spans="1:8">
      <c r="A32" s="98">
        <v>9</v>
      </c>
      <c r="B32" s="98" t="s">
        <v>113</v>
      </c>
      <c r="C32" s="98" t="s">
        <v>82</v>
      </c>
      <c r="D32" s="99">
        <v>200.68</v>
      </c>
      <c r="E32" s="99" t="s">
        <v>130</v>
      </c>
      <c r="F32" s="100">
        <v>298.7</v>
      </c>
      <c r="G32" s="101">
        <f t="shared" si="0"/>
        <v>298700</v>
      </c>
      <c r="H32" s="99">
        <v>200.68</v>
      </c>
    </row>
    <row r="33" spans="1:8">
      <c r="A33" s="98">
        <v>10</v>
      </c>
      <c r="B33" s="98" t="s">
        <v>114</v>
      </c>
      <c r="C33" s="98" t="s">
        <v>82</v>
      </c>
      <c r="D33" s="99">
        <v>312.04000000000002</v>
      </c>
      <c r="E33" s="99" t="s">
        <v>130</v>
      </c>
      <c r="F33" s="100">
        <v>458.8</v>
      </c>
      <c r="G33" s="101">
        <f t="shared" si="0"/>
        <v>458800</v>
      </c>
      <c r="H33" s="99">
        <v>313</v>
      </c>
    </row>
    <row r="34" spans="1:8">
      <c r="A34" s="98">
        <v>11</v>
      </c>
      <c r="B34" s="98" t="s">
        <v>115</v>
      </c>
      <c r="C34" s="98" t="s">
        <v>82</v>
      </c>
      <c r="D34" s="99">
        <v>200.68</v>
      </c>
      <c r="E34" s="99" t="s">
        <v>130</v>
      </c>
      <c r="F34" s="100">
        <v>290.39999999999998</v>
      </c>
      <c r="G34" s="101">
        <f t="shared" si="0"/>
        <v>290400</v>
      </c>
      <c r="H34" s="99">
        <v>200.68</v>
      </c>
    </row>
    <row r="35" spans="1:8">
      <c r="A35" s="98">
        <v>12</v>
      </c>
      <c r="B35" s="98" t="s">
        <v>116</v>
      </c>
      <c r="C35" s="98" t="s">
        <v>82</v>
      </c>
      <c r="D35" s="99">
        <v>350.32</v>
      </c>
      <c r="E35" s="99" t="s">
        <v>130</v>
      </c>
      <c r="F35" s="100">
        <v>517.29999999999995</v>
      </c>
      <c r="G35" s="101">
        <f t="shared" si="0"/>
        <v>517299.99999999994</v>
      </c>
      <c r="H35" s="99">
        <v>350.32</v>
      </c>
    </row>
    <row r="36" spans="1:8">
      <c r="A36" s="98">
        <v>13</v>
      </c>
      <c r="B36" s="98" t="s">
        <v>117</v>
      </c>
      <c r="C36" s="98" t="s">
        <v>82</v>
      </c>
      <c r="D36" s="99">
        <v>910.6</v>
      </c>
      <c r="E36" s="99" t="s">
        <v>130</v>
      </c>
      <c r="F36" s="100">
        <v>1350.8</v>
      </c>
      <c r="G36" s="101">
        <f t="shared" si="0"/>
        <v>1350800</v>
      </c>
      <c r="H36" s="99">
        <v>911</v>
      </c>
    </row>
    <row r="37" spans="1:8">
      <c r="A37" s="103"/>
      <c r="B37" s="103"/>
      <c r="C37" s="103"/>
      <c r="D37" s="103"/>
      <c r="E37" s="103"/>
      <c r="F37" s="104"/>
      <c r="G37" s="105"/>
      <c r="H37" s="103"/>
    </row>
    <row r="38" spans="1:8">
      <c r="A38" s="103"/>
      <c r="B38" s="103"/>
      <c r="C38" s="103"/>
      <c r="D38" s="103"/>
      <c r="E38" s="103"/>
      <c r="F38" s="104"/>
      <c r="G38" s="105"/>
      <c r="H38" s="103"/>
    </row>
    <row r="39" spans="1:8">
      <c r="A39" s="103"/>
      <c r="B39" s="103"/>
      <c r="C39" s="103"/>
      <c r="D39" s="103"/>
      <c r="E39" s="103"/>
      <c r="F39" s="104"/>
      <c r="G39" s="105"/>
      <c r="H39" s="103"/>
    </row>
    <row r="40" spans="1:8">
      <c r="A40" s="103"/>
      <c r="B40" s="103"/>
      <c r="C40" s="103"/>
      <c r="D40" s="103"/>
      <c r="E40" s="103"/>
      <c r="F40" s="104"/>
      <c r="G40" s="105"/>
      <c r="H40" s="103"/>
    </row>
    <row r="41" spans="1:8">
      <c r="A41" s="103"/>
      <c r="B41" s="103"/>
      <c r="C41" s="103"/>
      <c r="D41" s="106">
        <f t="shared" ref="D41:H41" si="1">SUM(D2:D40)</f>
        <v>19797.14</v>
      </c>
      <c r="E41" s="106">
        <f t="shared" si="1"/>
        <v>0</v>
      </c>
      <c r="F41" s="107">
        <f t="shared" si="1"/>
        <v>28703.67</v>
      </c>
      <c r="G41" s="106">
        <f t="shared" si="1"/>
        <v>28703670</v>
      </c>
      <c r="H41" s="106">
        <f t="shared" si="1"/>
        <v>19984.539999999997</v>
      </c>
    </row>
    <row r="42" spans="1:8">
      <c r="A42" s="108"/>
      <c r="B42" s="108"/>
      <c r="C42" s="108"/>
      <c r="D42" s="108"/>
      <c r="E42" s="108"/>
      <c r="F42" s="109"/>
      <c r="G42" s="110"/>
      <c r="H42" s="10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AB48"/>
  <sheetViews>
    <sheetView topLeftCell="A12" workbookViewId="0">
      <selection activeCell="C32" sqref="C32"/>
    </sheetView>
  </sheetViews>
  <sheetFormatPr defaultColWidth="11.25" defaultRowHeight="15" customHeight="1"/>
  <cols>
    <col min="1" max="1" width="33.5" customWidth="1"/>
    <col min="2" max="2" width="14.375" customWidth="1"/>
  </cols>
  <sheetData>
    <row r="1" spans="1:28">
      <c r="A1" s="111"/>
      <c r="B1" s="112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4"/>
      <c r="AA1" s="115"/>
      <c r="AB1" s="116"/>
    </row>
    <row r="2" spans="1:28">
      <c r="A2" s="117" t="s">
        <v>131</v>
      </c>
      <c r="B2" s="118"/>
      <c r="C2" s="118">
        <v>46112</v>
      </c>
      <c r="D2" s="118">
        <v>46477</v>
      </c>
      <c r="E2" s="118">
        <v>46843</v>
      </c>
      <c r="F2" s="118">
        <v>47208</v>
      </c>
      <c r="G2" s="118">
        <v>47573</v>
      </c>
      <c r="H2" s="118">
        <v>47938</v>
      </c>
      <c r="I2" s="118">
        <v>48304</v>
      </c>
      <c r="J2" s="118">
        <v>48669</v>
      </c>
      <c r="K2" s="118">
        <v>49034</v>
      </c>
      <c r="L2" s="118">
        <v>49399</v>
      </c>
      <c r="M2" s="118">
        <v>49765</v>
      </c>
      <c r="N2" s="118">
        <v>50130</v>
      </c>
      <c r="O2" s="118">
        <v>50495</v>
      </c>
      <c r="P2" s="118">
        <v>50860</v>
      </c>
      <c r="Q2" s="118">
        <v>51226</v>
      </c>
      <c r="R2" s="118">
        <v>51591</v>
      </c>
      <c r="S2" s="118">
        <v>51956</v>
      </c>
      <c r="T2" s="118">
        <v>52321</v>
      </c>
      <c r="U2" s="118">
        <v>52687</v>
      </c>
      <c r="V2" s="118">
        <v>53052</v>
      </c>
      <c r="W2" s="118">
        <v>53417</v>
      </c>
      <c r="X2" s="118">
        <v>53782</v>
      </c>
      <c r="Y2" s="118">
        <v>54148</v>
      </c>
      <c r="Z2" s="118">
        <v>54513</v>
      </c>
      <c r="AA2" s="118">
        <v>54878</v>
      </c>
      <c r="AB2" s="119" t="s">
        <v>64</v>
      </c>
    </row>
    <row r="3" spans="1:28">
      <c r="A3" s="120"/>
      <c r="B3" s="121"/>
      <c r="C3" s="122">
        <v>1</v>
      </c>
      <c r="D3" s="122">
        <f t="shared" ref="D3:AA3" si="0">C3+1</f>
        <v>2</v>
      </c>
      <c r="E3" s="122">
        <f t="shared" si="0"/>
        <v>3</v>
      </c>
      <c r="F3" s="122">
        <f t="shared" si="0"/>
        <v>4</v>
      </c>
      <c r="G3" s="122">
        <f t="shared" si="0"/>
        <v>5</v>
      </c>
      <c r="H3" s="122">
        <f t="shared" si="0"/>
        <v>6</v>
      </c>
      <c r="I3" s="122">
        <f t="shared" si="0"/>
        <v>7</v>
      </c>
      <c r="J3" s="122">
        <f t="shared" si="0"/>
        <v>8</v>
      </c>
      <c r="K3" s="122">
        <f t="shared" si="0"/>
        <v>9</v>
      </c>
      <c r="L3" s="122">
        <f t="shared" si="0"/>
        <v>10</v>
      </c>
      <c r="M3" s="122">
        <f t="shared" si="0"/>
        <v>11</v>
      </c>
      <c r="N3" s="122">
        <f t="shared" si="0"/>
        <v>12</v>
      </c>
      <c r="O3" s="122">
        <f t="shared" si="0"/>
        <v>13</v>
      </c>
      <c r="P3" s="122">
        <f t="shared" si="0"/>
        <v>14</v>
      </c>
      <c r="Q3" s="122">
        <f t="shared" si="0"/>
        <v>15</v>
      </c>
      <c r="R3" s="122">
        <f t="shared" si="0"/>
        <v>16</v>
      </c>
      <c r="S3" s="122">
        <f t="shared" si="0"/>
        <v>17</v>
      </c>
      <c r="T3" s="122">
        <f t="shared" si="0"/>
        <v>18</v>
      </c>
      <c r="U3" s="122">
        <f t="shared" si="0"/>
        <v>19</v>
      </c>
      <c r="V3" s="122">
        <f t="shared" si="0"/>
        <v>20</v>
      </c>
      <c r="W3" s="122">
        <f t="shared" si="0"/>
        <v>21</v>
      </c>
      <c r="X3" s="122">
        <f t="shared" si="0"/>
        <v>22</v>
      </c>
      <c r="Y3" s="122">
        <f t="shared" si="0"/>
        <v>23</v>
      </c>
      <c r="Z3" s="122">
        <f t="shared" si="0"/>
        <v>24</v>
      </c>
      <c r="AA3" s="122">
        <f t="shared" si="0"/>
        <v>25</v>
      </c>
      <c r="AB3" s="119"/>
    </row>
    <row r="4" spans="1:28">
      <c r="A4" s="123" t="s">
        <v>132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19"/>
    </row>
    <row r="5" spans="1:28">
      <c r="A5" s="125" t="s">
        <v>133</v>
      </c>
      <c r="B5" s="125" t="s">
        <v>134</v>
      </c>
      <c r="C5" s="126">
        <f>'Project Cost'!C5</f>
        <v>19797.14</v>
      </c>
      <c r="D5" s="126">
        <f t="shared" ref="D5:AA5" si="1">C5</f>
        <v>19797.14</v>
      </c>
      <c r="E5" s="126">
        <f t="shared" si="1"/>
        <v>19797.14</v>
      </c>
      <c r="F5" s="126">
        <f t="shared" si="1"/>
        <v>19797.14</v>
      </c>
      <c r="G5" s="126">
        <f t="shared" si="1"/>
        <v>19797.14</v>
      </c>
      <c r="H5" s="126">
        <f t="shared" si="1"/>
        <v>19797.14</v>
      </c>
      <c r="I5" s="126">
        <f t="shared" si="1"/>
        <v>19797.14</v>
      </c>
      <c r="J5" s="126">
        <f t="shared" si="1"/>
        <v>19797.14</v>
      </c>
      <c r="K5" s="126">
        <f t="shared" si="1"/>
        <v>19797.14</v>
      </c>
      <c r="L5" s="126">
        <f t="shared" si="1"/>
        <v>19797.14</v>
      </c>
      <c r="M5" s="126">
        <f t="shared" si="1"/>
        <v>19797.14</v>
      </c>
      <c r="N5" s="126">
        <f t="shared" si="1"/>
        <v>19797.14</v>
      </c>
      <c r="O5" s="126">
        <f t="shared" si="1"/>
        <v>19797.14</v>
      </c>
      <c r="P5" s="126">
        <f t="shared" si="1"/>
        <v>19797.14</v>
      </c>
      <c r="Q5" s="126">
        <f t="shared" si="1"/>
        <v>19797.14</v>
      </c>
      <c r="R5" s="126">
        <f t="shared" si="1"/>
        <v>19797.14</v>
      </c>
      <c r="S5" s="126">
        <f t="shared" si="1"/>
        <v>19797.14</v>
      </c>
      <c r="T5" s="126">
        <f t="shared" si="1"/>
        <v>19797.14</v>
      </c>
      <c r="U5" s="126">
        <f t="shared" si="1"/>
        <v>19797.14</v>
      </c>
      <c r="V5" s="126">
        <f t="shared" si="1"/>
        <v>19797.14</v>
      </c>
      <c r="W5" s="126">
        <f t="shared" si="1"/>
        <v>19797.14</v>
      </c>
      <c r="X5" s="126">
        <f t="shared" si="1"/>
        <v>19797.14</v>
      </c>
      <c r="Y5" s="126">
        <f t="shared" si="1"/>
        <v>19797.14</v>
      </c>
      <c r="Z5" s="126">
        <f t="shared" si="1"/>
        <v>19797.14</v>
      </c>
      <c r="AA5" s="126">
        <f t="shared" si="1"/>
        <v>19797.14</v>
      </c>
      <c r="AB5" s="127"/>
    </row>
    <row r="6" spans="1:28">
      <c r="A6" s="128" t="s">
        <v>135</v>
      </c>
      <c r="B6" s="124"/>
      <c r="C6" s="129">
        <v>45748</v>
      </c>
      <c r="D6" s="129">
        <f t="shared" ref="D6:AA6" si="2">DATE(YEAR(C6)+1,MONTH(C6),DAY(C6))</f>
        <v>46113</v>
      </c>
      <c r="E6" s="129">
        <f t="shared" si="2"/>
        <v>46478</v>
      </c>
      <c r="F6" s="129">
        <f t="shared" si="2"/>
        <v>46844</v>
      </c>
      <c r="G6" s="129">
        <f t="shared" si="2"/>
        <v>47209</v>
      </c>
      <c r="H6" s="129">
        <f t="shared" si="2"/>
        <v>47574</v>
      </c>
      <c r="I6" s="129">
        <f t="shared" si="2"/>
        <v>47939</v>
      </c>
      <c r="J6" s="129">
        <f t="shared" si="2"/>
        <v>48305</v>
      </c>
      <c r="K6" s="129">
        <f t="shared" si="2"/>
        <v>48670</v>
      </c>
      <c r="L6" s="129">
        <f t="shared" si="2"/>
        <v>49035</v>
      </c>
      <c r="M6" s="129">
        <f t="shared" si="2"/>
        <v>49400</v>
      </c>
      <c r="N6" s="129">
        <f t="shared" si="2"/>
        <v>49766</v>
      </c>
      <c r="O6" s="129">
        <f t="shared" si="2"/>
        <v>50131</v>
      </c>
      <c r="P6" s="129">
        <f t="shared" si="2"/>
        <v>50496</v>
      </c>
      <c r="Q6" s="129">
        <f t="shared" si="2"/>
        <v>50861</v>
      </c>
      <c r="R6" s="129">
        <f t="shared" si="2"/>
        <v>51227</v>
      </c>
      <c r="S6" s="129">
        <f t="shared" si="2"/>
        <v>51592</v>
      </c>
      <c r="T6" s="129">
        <f t="shared" si="2"/>
        <v>51957</v>
      </c>
      <c r="U6" s="129">
        <f t="shared" si="2"/>
        <v>52322</v>
      </c>
      <c r="V6" s="129">
        <f t="shared" si="2"/>
        <v>52688</v>
      </c>
      <c r="W6" s="129">
        <f t="shared" si="2"/>
        <v>53053</v>
      </c>
      <c r="X6" s="129">
        <f t="shared" si="2"/>
        <v>53418</v>
      </c>
      <c r="Y6" s="129">
        <f t="shared" si="2"/>
        <v>53783</v>
      </c>
      <c r="Z6" s="129">
        <f t="shared" si="2"/>
        <v>54149</v>
      </c>
      <c r="AA6" s="129">
        <f t="shared" si="2"/>
        <v>54514</v>
      </c>
      <c r="AB6" s="119"/>
    </row>
    <row r="7" spans="1:28">
      <c r="A7" s="128" t="s">
        <v>136</v>
      </c>
      <c r="B7" s="124"/>
      <c r="C7" s="129">
        <v>46112</v>
      </c>
      <c r="D7" s="129">
        <f t="shared" ref="D7:AA7" si="3">DATE(YEAR(C7)+1,MONTH(C7),DAY(C7))</f>
        <v>46477</v>
      </c>
      <c r="E7" s="129">
        <f t="shared" si="3"/>
        <v>46843</v>
      </c>
      <c r="F7" s="129">
        <f t="shared" si="3"/>
        <v>47208</v>
      </c>
      <c r="G7" s="129">
        <f t="shared" si="3"/>
        <v>47573</v>
      </c>
      <c r="H7" s="129">
        <f t="shared" si="3"/>
        <v>47938</v>
      </c>
      <c r="I7" s="129">
        <f t="shared" si="3"/>
        <v>48304</v>
      </c>
      <c r="J7" s="129">
        <f t="shared" si="3"/>
        <v>48669</v>
      </c>
      <c r="K7" s="129">
        <f t="shared" si="3"/>
        <v>49034</v>
      </c>
      <c r="L7" s="129">
        <f t="shared" si="3"/>
        <v>49399</v>
      </c>
      <c r="M7" s="129">
        <f t="shared" si="3"/>
        <v>49765</v>
      </c>
      <c r="N7" s="129">
        <f t="shared" si="3"/>
        <v>50130</v>
      </c>
      <c r="O7" s="129">
        <f t="shared" si="3"/>
        <v>50495</v>
      </c>
      <c r="P7" s="129">
        <f t="shared" si="3"/>
        <v>50860</v>
      </c>
      <c r="Q7" s="129">
        <f t="shared" si="3"/>
        <v>51226</v>
      </c>
      <c r="R7" s="129">
        <f t="shared" si="3"/>
        <v>51591</v>
      </c>
      <c r="S7" s="129">
        <f t="shared" si="3"/>
        <v>51956</v>
      </c>
      <c r="T7" s="129">
        <f t="shared" si="3"/>
        <v>52321</v>
      </c>
      <c r="U7" s="129">
        <f t="shared" si="3"/>
        <v>52687</v>
      </c>
      <c r="V7" s="129">
        <f t="shared" si="3"/>
        <v>53052</v>
      </c>
      <c r="W7" s="129">
        <f t="shared" si="3"/>
        <v>53417</v>
      </c>
      <c r="X7" s="129">
        <f t="shared" si="3"/>
        <v>53782</v>
      </c>
      <c r="Y7" s="129">
        <f t="shared" si="3"/>
        <v>54148</v>
      </c>
      <c r="Z7" s="129">
        <f t="shared" si="3"/>
        <v>54513</v>
      </c>
      <c r="AA7" s="129">
        <f t="shared" si="3"/>
        <v>54878</v>
      </c>
      <c r="AB7" s="119"/>
    </row>
    <row r="8" spans="1:28">
      <c r="A8" s="128" t="s">
        <v>137</v>
      </c>
      <c r="B8" s="128" t="s">
        <v>138</v>
      </c>
      <c r="C8" s="130">
        <v>12</v>
      </c>
      <c r="D8" s="130">
        <v>12</v>
      </c>
      <c r="E8" s="130">
        <f t="shared" ref="E8:AA8" si="4">D8</f>
        <v>12</v>
      </c>
      <c r="F8" s="130">
        <f t="shared" si="4"/>
        <v>12</v>
      </c>
      <c r="G8" s="130">
        <f t="shared" si="4"/>
        <v>12</v>
      </c>
      <c r="H8" s="130">
        <f t="shared" si="4"/>
        <v>12</v>
      </c>
      <c r="I8" s="130">
        <f t="shared" si="4"/>
        <v>12</v>
      </c>
      <c r="J8" s="130">
        <f t="shared" si="4"/>
        <v>12</v>
      </c>
      <c r="K8" s="130">
        <f t="shared" si="4"/>
        <v>12</v>
      </c>
      <c r="L8" s="130">
        <f t="shared" si="4"/>
        <v>12</v>
      </c>
      <c r="M8" s="130">
        <f t="shared" si="4"/>
        <v>12</v>
      </c>
      <c r="N8" s="130">
        <f t="shared" si="4"/>
        <v>12</v>
      </c>
      <c r="O8" s="130">
        <f t="shared" si="4"/>
        <v>12</v>
      </c>
      <c r="P8" s="130">
        <f t="shared" si="4"/>
        <v>12</v>
      </c>
      <c r="Q8" s="130">
        <f t="shared" si="4"/>
        <v>12</v>
      </c>
      <c r="R8" s="130">
        <f t="shared" si="4"/>
        <v>12</v>
      </c>
      <c r="S8" s="130">
        <f t="shared" si="4"/>
        <v>12</v>
      </c>
      <c r="T8" s="130">
        <f t="shared" si="4"/>
        <v>12</v>
      </c>
      <c r="U8" s="130">
        <f t="shared" si="4"/>
        <v>12</v>
      </c>
      <c r="V8" s="130">
        <f t="shared" si="4"/>
        <v>12</v>
      </c>
      <c r="W8" s="130">
        <f t="shared" si="4"/>
        <v>12</v>
      </c>
      <c r="X8" s="130">
        <f t="shared" si="4"/>
        <v>12</v>
      </c>
      <c r="Y8" s="130">
        <f t="shared" si="4"/>
        <v>12</v>
      </c>
      <c r="Z8" s="130">
        <f t="shared" si="4"/>
        <v>12</v>
      </c>
      <c r="AA8" s="130">
        <f t="shared" si="4"/>
        <v>12</v>
      </c>
      <c r="AB8" s="119"/>
    </row>
    <row r="9" spans="1:28">
      <c r="A9" s="128" t="s">
        <v>139</v>
      </c>
      <c r="B9" s="128" t="s">
        <v>140</v>
      </c>
      <c r="C9" s="130">
        <v>365</v>
      </c>
      <c r="D9" s="130">
        <v>365</v>
      </c>
      <c r="E9" s="130">
        <v>365</v>
      </c>
      <c r="F9" s="130">
        <v>365</v>
      </c>
      <c r="G9" s="130">
        <v>365</v>
      </c>
      <c r="H9" s="130">
        <v>365</v>
      </c>
      <c r="I9" s="130">
        <v>365</v>
      </c>
      <c r="J9" s="130">
        <v>365</v>
      </c>
      <c r="K9" s="130">
        <v>365</v>
      </c>
      <c r="L9" s="130">
        <v>365</v>
      </c>
      <c r="M9" s="130">
        <v>365</v>
      </c>
      <c r="N9" s="130">
        <v>365</v>
      </c>
      <c r="O9" s="130">
        <v>365</v>
      </c>
      <c r="P9" s="130">
        <v>365</v>
      </c>
      <c r="Q9" s="130">
        <v>365</v>
      </c>
      <c r="R9" s="130">
        <v>365</v>
      </c>
      <c r="S9" s="130">
        <v>365</v>
      </c>
      <c r="T9" s="130">
        <v>365</v>
      </c>
      <c r="U9" s="130">
        <v>365</v>
      </c>
      <c r="V9" s="130">
        <v>365</v>
      </c>
      <c r="W9" s="130">
        <v>365</v>
      </c>
      <c r="X9" s="130">
        <v>365</v>
      </c>
      <c r="Y9" s="130">
        <v>365</v>
      </c>
      <c r="Z9" s="130">
        <v>365</v>
      </c>
      <c r="AA9" s="130">
        <v>365</v>
      </c>
      <c r="AB9" s="119"/>
    </row>
    <row r="10" spans="1:28">
      <c r="A10" s="128" t="s">
        <v>141</v>
      </c>
      <c r="B10" s="128" t="s">
        <v>142</v>
      </c>
      <c r="C10" s="130">
        <v>24</v>
      </c>
      <c r="D10" s="130">
        <v>24</v>
      </c>
      <c r="E10" s="130">
        <v>24</v>
      </c>
      <c r="F10" s="130">
        <v>24</v>
      </c>
      <c r="G10" s="130">
        <v>24</v>
      </c>
      <c r="H10" s="130">
        <v>24</v>
      </c>
      <c r="I10" s="130">
        <v>24</v>
      </c>
      <c r="J10" s="130">
        <v>24</v>
      </c>
      <c r="K10" s="130">
        <v>24</v>
      </c>
      <c r="L10" s="130">
        <v>24</v>
      </c>
      <c r="M10" s="130">
        <v>24</v>
      </c>
      <c r="N10" s="130">
        <v>24</v>
      </c>
      <c r="O10" s="130">
        <v>24</v>
      </c>
      <c r="P10" s="130">
        <v>24</v>
      </c>
      <c r="Q10" s="130">
        <v>24</v>
      </c>
      <c r="R10" s="130">
        <v>24</v>
      </c>
      <c r="S10" s="130">
        <v>24</v>
      </c>
      <c r="T10" s="130">
        <v>24</v>
      </c>
      <c r="U10" s="130">
        <v>24</v>
      </c>
      <c r="V10" s="130">
        <v>24</v>
      </c>
      <c r="W10" s="130">
        <v>24</v>
      </c>
      <c r="X10" s="130">
        <v>24</v>
      </c>
      <c r="Y10" s="130">
        <v>24</v>
      </c>
      <c r="Z10" s="130">
        <v>24</v>
      </c>
      <c r="AA10" s="130">
        <v>24</v>
      </c>
      <c r="AB10" s="119"/>
    </row>
    <row r="11" spans="1:28">
      <c r="A11" s="128" t="s">
        <v>143</v>
      </c>
      <c r="B11" s="128" t="s">
        <v>144</v>
      </c>
      <c r="C11" s="131">
        <f>Assumptions!B5</f>
        <v>0.16551252643231532</v>
      </c>
      <c r="D11" s="131">
        <f t="shared" ref="D11:AA11" si="5">C11</f>
        <v>0.16551252643231532</v>
      </c>
      <c r="E11" s="131">
        <f t="shared" si="5"/>
        <v>0.16551252643231532</v>
      </c>
      <c r="F11" s="131">
        <f t="shared" si="5"/>
        <v>0.16551252643231532</v>
      </c>
      <c r="G11" s="131">
        <f t="shared" si="5"/>
        <v>0.16551252643231532</v>
      </c>
      <c r="H11" s="131">
        <f t="shared" si="5"/>
        <v>0.16551252643231532</v>
      </c>
      <c r="I11" s="131">
        <f t="shared" si="5"/>
        <v>0.16551252643231532</v>
      </c>
      <c r="J11" s="131">
        <f t="shared" si="5"/>
        <v>0.16551252643231532</v>
      </c>
      <c r="K11" s="131">
        <f t="shared" si="5"/>
        <v>0.16551252643231532</v>
      </c>
      <c r="L11" s="131">
        <f t="shared" si="5"/>
        <v>0.16551252643231532</v>
      </c>
      <c r="M11" s="131">
        <f t="shared" si="5"/>
        <v>0.16551252643231532</v>
      </c>
      <c r="N11" s="131">
        <f t="shared" si="5"/>
        <v>0.16551252643231532</v>
      </c>
      <c r="O11" s="131">
        <f t="shared" si="5"/>
        <v>0.16551252643231532</v>
      </c>
      <c r="P11" s="131">
        <f t="shared" si="5"/>
        <v>0.16551252643231532</v>
      </c>
      <c r="Q11" s="131">
        <f t="shared" si="5"/>
        <v>0.16551252643231532</v>
      </c>
      <c r="R11" s="131">
        <f t="shared" si="5"/>
        <v>0.16551252643231532</v>
      </c>
      <c r="S11" s="131">
        <f t="shared" si="5"/>
        <v>0.16551252643231532</v>
      </c>
      <c r="T11" s="131">
        <f t="shared" si="5"/>
        <v>0.16551252643231532</v>
      </c>
      <c r="U11" s="131">
        <f t="shared" si="5"/>
        <v>0.16551252643231532</v>
      </c>
      <c r="V11" s="131">
        <f t="shared" si="5"/>
        <v>0.16551252643231532</v>
      </c>
      <c r="W11" s="131">
        <f t="shared" si="5"/>
        <v>0.16551252643231532</v>
      </c>
      <c r="X11" s="131">
        <f t="shared" si="5"/>
        <v>0.16551252643231532</v>
      </c>
      <c r="Y11" s="131">
        <f t="shared" si="5"/>
        <v>0.16551252643231532</v>
      </c>
      <c r="Z11" s="131">
        <f t="shared" si="5"/>
        <v>0.16551252643231532</v>
      </c>
      <c r="AA11" s="131">
        <f t="shared" si="5"/>
        <v>0.16551252643231532</v>
      </c>
      <c r="AB11" s="119"/>
    </row>
    <row r="12" spans="1:28">
      <c r="A12" s="128" t="s">
        <v>16</v>
      </c>
      <c r="B12" s="128" t="s">
        <v>144</v>
      </c>
      <c r="C12" s="132" t="s">
        <v>17</v>
      </c>
      <c r="D12" s="132" t="str">
        <f t="shared" ref="D12:AA12" si="6">C12</f>
        <v>1%</v>
      </c>
      <c r="E12" s="132" t="str">
        <f t="shared" si="6"/>
        <v>1%</v>
      </c>
      <c r="F12" s="132" t="str">
        <f t="shared" si="6"/>
        <v>1%</v>
      </c>
      <c r="G12" s="132" t="str">
        <f t="shared" si="6"/>
        <v>1%</v>
      </c>
      <c r="H12" s="132" t="str">
        <f t="shared" si="6"/>
        <v>1%</v>
      </c>
      <c r="I12" s="132" t="str">
        <f t="shared" si="6"/>
        <v>1%</v>
      </c>
      <c r="J12" s="132" t="str">
        <f t="shared" si="6"/>
        <v>1%</v>
      </c>
      <c r="K12" s="132" t="str">
        <f t="shared" si="6"/>
        <v>1%</v>
      </c>
      <c r="L12" s="132" t="str">
        <f t="shared" si="6"/>
        <v>1%</v>
      </c>
      <c r="M12" s="132" t="str">
        <f t="shared" si="6"/>
        <v>1%</v>
      </c>
      <c r="N12" s="132" t="str">
        <f t="shared" si="6"/>
        <v>1%</v>
      </c>
      <c r="O12" s="132" t="str">
        <f t="shared" si="6"/>
        <v>1%</v>
      </c>
      <c r="P12" s="132" t="str">
        <f t="shared" si="6"/>
        <v>1%</v>
      </c>
      <c r="Q12" s="132" t="str">
        <f t="shared" si="6"/>
        <v>1%</v>
      </c>
      <c r="R12" s="132" t="str">
        <f t="shared" si="6"/>
        <v>1%</v>
      </c>
      <c r="S12" s="132" t="str">
        <f t="shared" si="6"/>
        <v>1%</v>
      </c>
      <c r="T12" s="132" t="str">
        <f t="shared" si="6"/>
        <v>1%</v>
      </c>
      <c r="U12" s="132" t="str">
        <f t="shared" si="6"/>
        <v>1%</v>
      </c>
      <c r="V12" s="132" t="str">
        <f t="shared" si="6"/>
        <v>1%</v>
      </c>
      <c r="W12" s="132" t="str">
        <f t="shared" si="6"/>
        <v>1%</v>
      </c>
      <c r="X12" s="132" t="str">
        <f t="shared" si="6"/>
        <v>1%</v>
      </c>
      <c r="Y12" s="132" t="str">
        <f t="shared" si="6"/>
        <v>1%</v>
      </c>
      <c r="Z12" s="132" t="str">
        <f t="shared" si="6"/>
        <v>1%</v>
      </c>
      <c r="AA12" s="132" t="str">
        <f t="shared" si="6"/>
        <v>1%</v>
      </c>
      <c r="AB12" s="133"/>
    </row>
    <row r="13" spans="1:28">
      <c r="A13" s="128" t="s">
        <v>145</v>
      </c>
      <c r="B13" s="128" t="s">
        <v>144</v>
      </c>
      <c r="C13" s="131">
        <v>0</v>
      </c>
      <c r="D13" s="131">
        <v>0</v>
      </c>
      <c r="E13" s="131">
        <f t="shared" ref="E13:AA13" si="7">D13</f>
        <v>0</v>
      </c>
      <c r="F13" s="131">
        <f t="shared" si="7"/>
        <v>0</v>
      </c>
      <c r="G13" s="131">
        <f t="shared" si="7"/>
        <v>0</v>
      </c>
      <c r="H13" s="131">
        <f t="shared" si="7"/>
        <v>0</v>
      </c>
      <c r="I13" s="131">
        <f t="shared" si="7"/>
        <v>0</v>
      </c>
      <c r="J13" s="131">
        <f t="shared" si="7"/>
        <v>0</v>
      </c>
      <c r="K13" s="131">
        <f t="shared" si="7"/>
        <v>0</v>
      </c>
      <c r="L13" s="131">
        <f t="shared" si="7"/>
        <v>0</v>
      </c>
      <c r="M13" s="131">
        <f t="shared" si="7"/>
        <v>0</v>
      </c>
      <c r="N13" s="131">
        <f t="shared" si="7"/>
        <v>0</v>
      </c>
      <c r="O13" s="131">
        <f t="shared" si="7"/>
        <v>0</v>
      </c>
      <c r="P13" s="131">
        <f t="shared" si="7"/>
        <v>0</v>
      </c>
      <c r="Q13" s="131">
        <f t="shared" si="7"/>
        <v>0</v>
      </c>
      <c r="R13" s="131">
        <f t="shared" si="7"/>
        <v>0</v>
      </c>
      <c r="S13" s="131">
        <f t="shared" si="7"/>
        <v>0</v>
      </c>
      <c r="T13" s="131">
        <f t="shared" si="7"/>
        <v>0</v>
      </c>
      <c r="U13" s="131">
        <f t="shared" si="7"/>
        <v>0</v>
      </c>
      <c r="V13" s="131">
        <f t="shared" si="7"/>
        <v>0</v>
      </c>
      <c r="W13" s="131">
        <f t="shared" si="7"/>
        <v>0</v>
      </c>
      <c r="X13" s="131">
        <f t="shared" si="7"/>
        <v>0</v>
      </c>
      <c r="Y13" s="131">
        <f t="shared" si="7"/>
        <v>0</v>
      </c>
      <c r="Z13" s="131">
        <f t="shared" si="7"/>
        <v>0</v>
      </c>
      <c r="AA13" s="131">
        <f t="shared" si="7"/>
        <v>0</v>
      </c>
      <c r="AB13" s="119"/>
    </row>
    <row r="14" spans="1:28">
      <c r="A14" s="128" t="s">
        <v>146</v>
      </c>
      <c r="B14" s="128" t="s">
        <v>147</v>
      </c>
      <c r="C14" s="134">
        <f t="shared" ref="C14:D14" si="8">C11*C9*C10*C5*C8/12</f>
        <v>28703670.000000004</v>
      </c>
      <c r="D14" s="134">
        <f t="shared" si="8"/>
        <v>28703670.000000004</v>
      </c>
      <c r="E14" s="134">
        <f t="shared" ref="E14:AA14" si="9">D14*(1-E12)</f>
        <v>28416633.300000004</v>
      </c>
      <c r="F14" s="134">
        <f t="shared" si="9"/>
        <v>28132466.967000004</v>
      </c>
      <c r="G14" s="134">
        <f t="shared" si="9"/>
        <v>27851142.297330003</v>
      </c>
      <c r="H14" s="134">
        <f t="shared" si="9"/>
        <v>27572630.874356702</v>
      </c>
      <c r="I14" s="134">
        <f t="shared" si="9"/>
        <v>27296904.565613136</v>
      </c>
      <c r="J14" s="134">
        <f t="shared" si="9"/>
        <v>27023935.519957002</v>
      </c>
      <c r="K14" s="134">
        <f t="shared" si="9"/>
        <v>26753696.164757431</v>
      </c>
      <c r="L14" s="134">
        <f t="shared" si="9"/>
        <v>26486159.203109857</v>
      </c>
      <c r="M14" s="134">
        <f t="shared" si="9"/>
        <v>26221297.611078758</v>
      </c>
      <c r="N14" s="134">
        <f t="shared" si="9"/>
        <v>25959084.634967972</v>
      </c>
      <c r="O14" s="134">
        <f t="shared" si="9"/>
        <v>25699493.788618293</v>
      </c>
      <c r="P14" s="134">
        <f t="shared" si="9"/>
        <v>25442498.85073211</v>
      </c>
      <c r="Q14" s="134">
        <f t="shared" si="9"/>
        <v>25188073.862224787</v>
      </c>
      <c r="R14" s="134">
        <f t="shared" si="9"/>
        <v>24936193.123602539</v>
      </c>
      <c r="S14" s="134">
        <f t="shared" si="9"/>
        <v>24686831.192366514</v>
      </c>
      <c r="T14" s="134">
        <f t="shared" si="9"/>
        <v>24439962.88044285</v>
      </c>
      <c r="U14" s="134">
        <f t="shared" si="9"/>
        <v>24195563.25163842</v>
      </c>
      <c r="V14" s="134">
        <f t="shared" si="9"/>
        <v>23953607.619122036</v>
      </c>
      <c r="W14" s="134">
        <f t="shared" si="9"/>
        <v>23714071.542930815</v>
      </c>
      <c r="X14" s="134">
        <f t="shared" si="9"/>
        <v>23476930.827501506</v>
      </c>
      <c r="Y14" s="134">
        <f t="shared" si="9"/>
        <v>23242161.519226491</v>
      </c>
      <c r="Z14" s="134">
        <f t="shared" si="9"/>
        <v>23009739.904034227</v>
      </c>
      <c r="AA14" s="134">
        <f t="shared" si="9"/>
        <v>22779642.504993886</v>
      </c>
      <c r="AB14" s="135"/>
    </row>
    <row r="15" spans="1:28">
      <c r="A15" s="128" t="s">
        <v>16</v>
      </c>
      <c r="B15" s="128" t="s">
        <v>147</v>
      </c>
      <c r="C15" s="126">
        <v>0</v>
      </c>
      <c r="D15" s="126">
        <f t="shared" ref="D15:AA15" si="10">(D14*D12)*COUNT($D$12:D12)</f>
        <v>0</v>
      </c>
      <c r="E15" s="126">
        <f t="shared" si="10"/>
        <v>0</v>
      </c>
      <c r="F15" s="126">
        <f t="shared" si="10"/>
        <v>0</v>
      </c>
      <c r="G15" s="126">
        <f t="shared" si="10"/>
        <v>0</v>
      </c>
      <c r="H15" s="126">
        <f t="shared" si="10"/>
        <v>0</v>
      </c>
      <c r="I15" s="126">
        <f t="shared" si="10"/>
        <v>0</v>
      </c>
      <c r="J15" s="126">
        <f t="shared" si="10"/>
        <v>0</v>
      </c>
      <c r="K15" s="126">
        <f t="shared" si="10"/>
        <v>0</v>
      </c>
      <c r="L15" s="126">
        <f t="shared" si="10"/>
        <v>0</v>
      </c>
      <c r="M15" s="126">
        <f t="shared" si="10"/>
        <v>0</v>
      </c>
      <c r="N15" s="126">
        <f t="shared" si="10"/>
        <v>0</v>
      </c>
      <c r="O15" s="126">
        <f t="shared" si="10"/>
        <v>0</v>
      </c>
      <c r="P15" s="126">
        <f t="shared" si="10"/>
        <v>0</v>
      </c>
      <c r="Q15" s="126">
        <f t="shared" si="10"/>
        <v>0</v>
      </c>
      <c r="R15" s="126">
        <f t="shared" si="10"/>
        <v>0</v>
      </c>
      <c r="S15" s="126">
        <f t="shared" si="10"/>
        <v>0</v>
      </c>
      <c r="T15" s="126">
        <f t="shared" si="10"/>
        <v>0</v>
      </c>
      <c r="U15" s="126">
        <f t="shared" si="10"/>
        <v>0</v>
      </c>
      <c r="V15" s="126">
        <f t="shared" si="10"/>
        <v>0</v>
      </c>
      <c r="W15" s="126">
        <f t="shared" si="10"/>
        <v>0</v>
      </c>
      <c r="X15" s="126">
        <f t="shared" si="10"/>
        <v>0</v>
      </c>
      <c r="Y15" s="126">
        <f t="shared" si="10"/>
        <v>0</v>
      </c>
      <c r="Z15" s="126">
        <f t="shared" si="10"/>
        <v>0</v>
      </c>
      <c r="AA15" s="126">
        <f t="shared" si="10"/>
        <v>0</v>
      </c>
      <c r="AB15" s="119"/>
    </row>
    <row r="16" spans="1:28">
      <c r="A16" s="128" t="s">
        <v>148</v>
      </c>
      <c r="B16" s="128" t="s">
        <v>147</v>
      </c>
      <c r="C16" s="126">
        <f>C14</f>
        <v>28703670.000000004</v>
      </c>
      <c r="D16" s="126">
        <f t="shared" ref="D16:AA16" si="11">C16*0.99</f>
        <v>28416633.300000004</v>
      </c>
      <c r="E16" s="126">
        <f t="shared" si="11"/>
        <v>28132466.967000004</v>
      </c>
      <c r="F16" s="126">
        <f t="shared" si="11"/>
        <v>27851142.297330003</v>
      </c>
      <c r="G16" s="126">
        <f t="shared" si="11"/>
        <v>27572630.874356702</v>
      </c>
      <c r="H16" s="126">
        <f t="shared" si="11"/>
        <v>27296904.565613136</v>
      </c>
      <c r="I16" s="126">
        <f t="shared" si="11"/>
        <v>27023935.519957002</v>
      </c>
      <c r="J16" s="126">
        <f t="shared" si="11"/>
        <v>26753696.164757431</v>
      </c>
      <c r="K16" s="126">
        <f t="shared" si="11"/>
        <v>26486159.203109857</v>
      </c>
      <c r="L16" s="126">
        <f t="shared" si="11"/>
        <v>26221297.611078758</v>
      </c>
      <c r="M16" s="126">
        <f t="shared" si="11"/>
        <v>25959084.634967972</v>
      </c>
      <c r="N16" s="126">
        <f t="shared" si="11"/>
        <v>25699493.788618293</v>
      </c>
      <c r="O16" s="126">
        <f t="shared" si="11"/>
        <v>25442498.85073211</v>
      </c>
      <c r="P16" s="126">
        <f t="shared" si="11"/>
        <v>25188073.862224787</v>
      </c>
      <c r="Q16" s="126">
        <f t="shared" si="11"/>
        <v>24936193.123602539</v>
      </c>
      <c r="R16" s="126">
        <f t="shared" si="11"/>
        <v>24686831.192366514</v>
      </c>
      <c r="S16" s="126">
        <f t="shared" si="11"/>
        <v>24439962.88044285</v>
      </c>
      <c r="T16" s="126">
        <f t="shared" si="11"/>
        <v>24195563.25163842</v>
      </c>
      <c r="U16" s="126">
        <f t="shared" si="11"/>
        <v>23953607.619122036</v>
      </c>
      <c r="V16" s="126">
        <f t="shared" si="11"/>
        <v>23714071.542930815</v>
      </c>
      <c r="W16" s="126">
        <f t="shared" si="11"/>
        <v>23476930.827501506</v>
      </c>
      <c r="X16" s="126">
        <f t="shared" si="11"/>
        <v>23242161.519226491</v>
      </c>
      <c r="Y16" s="126">
        <f t="shared" si="11"/>
        <v>23009739.904034227</v>
      </c>
      <c r="Z16" s="126">
        <f t="shared" si="11"/>
        <v>22779642.504993886</v>
      </c>
      <c r="AA16" s="126">
        <f t="shared" si="11"/>
        <v>22551846.079943947</v>
      </c>
      <c r="AB16" s="119"/>
    </row>
    <row r="17" spans="1:28">
      <c r="A17" s="128" t="s">
        <v>149</v>
      </c>
      <c r="B17" s="128" t="s">
        <v>147</v>
      </c>
      <c r="C17" s="126">
        <f t="shared" ref="C17:AA17" si="12">C16*C13</f>
        <v>0</v>
      </c>
      <c r="D17" s="126">
        <f t="shared" si="12"/>
        <v>0</v>
      </c>
      <c r="E17" s="126">
        <f t="shared" si="12"/>
        <v>0</v>
      </c>
      <c r="F17" s="126">
        <f t="shared" si="12"/>
        <v>0</v>
      </c>
      <c r="G17" s="126">
        <f t="shared" si="12"/>
        <v>0</v>
      </c>
      <c r="H17" s="126">
        <f t="shared" si="12"/>
        <v>0</v>
      </c>
      <c r="I17" s="126">
        <f t="shared" si="12"/>
        <v>0</v>
      </c>
      <c r="J17" s="126">
        <f t="shared" si="12"/>
        <v>0</v>
      </c>
      <c r="K17" s="126">
        <f t="shared" si="12"/>
        <v>0</v>
      </c>
      <c r="L17" s="126">
        <f t="shared" si="12"/>
        <v>0</v>
      </c>
      <c r="M17" s="126">
        <f t="shared" si="12"/>
        <v>0</v>
      </c>
      <c r="N17" s="126">
        <f t="shared" si="12"/>
        <v>0</v>
      </c>
      <c r="O17" s="126">
        <f t="shared" si="12"/>
        <v>0</v>
      </c>
      <c r="P17" s="126">
        <f t="shared" si="12"/>
        <v>0</v>
      </c>
      <c r="Q17" s="126">
        <f t="shared" si="12"/>
        <v>0</v>
      </c>
      <c r="R17" s="126">
        <f t="shared" si="12"/>
        <v>0</v>
      </c>
      <c r="S17" s="126">
        <f t="shared" si="12"/>
        <v>0</v>
      </c>
      <c r="T17" s="126">
        <f t="shared" si="12"/>
        <v>0</v>
      </c>
      <c r="U17" s="126">
        <f t="shared" si="12"/>
        <v>0</v>
      </c>
      <c r="V17" s="126">
        <f t="shared" si="12"/>
        <v>0</v>
      </c>
      <c r="W17" s="126">
        <f t="shared" si="12"/>
        <v>0</v>
      </c>
      <c r="X17" s="126">
        <f t="shared" si="12"/>
        <v>0</v>
      </c>
      <c r="Y17" s="126">
        <f t="shared" si="12"/>
        <v>0</v>
      </c>
      <c r="Z17" s="126">
        <f t="shared" si="12"/>
        <v>0</v>
      </c>
      <c r="AA17" s="126">
        <f t="shared" si="12"/>
        <v>0</v>
      </c>
      <c r="AB17" s="119"/>
    </row>
    <row r="18" spans="1:28">
      <c r="A18" s="128" t="s">
        <v>150</v>
      </c>
      <c r="B18" s="128" t="s">
        <v>147</v>
      </c>
      <c r="C18" s="126">
        <f t="shared" ref="C18:AA18" si="13">C16-C17</f>
        <v>28703670.000000004</v>
      </c>
      <c r="D18" s="126">
        <f t="shared" si="13"/>
        <v>28416633.300000004</v>
      </c>
      <c r="E18" s="126">
        <f t="shared" si="13"/>
        <v>28132466.967000004</v>
      </c>
      <c r="F18" s="126">
        <f t="shared" si="13"/>
        <v>27851142.297330003</v>
      </c>
      <c r="G18" s="126">
        <f t="shared" si="13"/>
        <v>27572630.874356702</v>
      </c>
      <c r="H18" s="126">
        <f t="shared" si="13"/>
        <v>27296904.565613136</v>
      </c>
      <c r="I18" s="126">
        <f t="shared" si="13"/>
        <v>27023935.519957002</v>
      </c>
      <c r="J18" s="126">
        <f t="shared" si="13"/>
        <v>26753696.164757431</v>
      </c>
      <c r="K18" s="126">
        <f t="shared" si="13"/>
        <v>26486159.203109857</v>
      </c>
      <c r="L18" s="126">
        <f t="shared" si="13"/>
        <v>26221297.611078758</v>
      </c>
      <c r="M18" s="126">
        <f t="shared" si="13"/>
        <v>25959084.634967972</v>
      </c>
      <c r="N18" s="126">
        <f t="shared" si="13"/>
        <v>25699493.788618293</v>
      </c>
      <c r="O18" s="126">
        <f t="shared" si="13"/>
        <v>25442498.85073211</v>
      </c>
      <c r="P18" s="126">
        <f t="shared" si="13"/>
        <v>25188073.862224787</v>
      </c>
      <c r="Q18" s="126">
        <f t="shared" si="13"/>
        <v>24936193.123602539</v>
      </c>
      <c r="R18" s="126">
        <f t="shared" si="13"/>
        <v>24686831.192366514</v>
      </c>
      <c r="S18" s="126">
        <f t="shared" si="13"/>
        <v>24439962.88044285</v>
      </c>
      <c r="T18" s="126">
        <f t="shared" si="13"/>
        <v>24195563.25163842</v>
      </c>
      <c r="U18" s="126">
        <f t="shared" si="13"/>
        <v>23953607.619122036</v>
      </c>
      <c r="V18" s="126">
        <f t="shared" si="13"/>
        <v>23714071.542930815</v>
      </c>
      <c r="W18" s="126">
        <f t="shared" si="13"/>
        <v>23476930.827501506</v>
      </c>
      <c r="X18" s="126">
        <f t="shared" si="13"/>
        <v>23242161.519226491</v>
      </c>
      <c r="Y18" s="126">
        <f t="shared" si="13"/>
        <v>23009739.904034227</v>
      </c>
      <c r="Z18" s="126">
        <f t="shared" si="13"/>
        <v>22779642.504993886</v>
      </c>
      <c r="AA18" s="126">
        <f t="shared" si="13"/>
        <v>22551846.079943947</v>
      </c>
      <c r="AB18" s="119"/>
    </row>
    <row r="19" spans="1:28">
      <c r="A19" s="124"/>
      <c r="B19" s="124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7"/>
      <c r="AB19" s="119"/>
    </row>
    <row r="20" spans="1:28">
      <c r="A20" s="123" t="s">
        <v>151</v>
      </c>
      <c r="B20" s="124"/>
      <c r="C20" s="124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38"/>
      <c r="AB20" s="119"/>
    </row>
    <row r="21" spans="1:28">
      <c r="A21" s="128" t="s">
        <v>152</v>
      </c>
      <c r="B21" s="128" t="s">
        <v>153</v>
      </c>
      <c r="C21" s="139">
        <f>Assumptions!B8</f>
        <v>4.8499999999999996</v>
      </c>
      <c r="D21" s="139">
        <f t="shared" ref="D21:AA21" si="14">C21</f>
        <v>4.8499999999999996</v>
      </c>
      <c r="E21" s="139">
        <f t="shared" si="14"/>
        <v>4.8499999999999996</v>
      </c>
      <c r="F21" s="139">
        <f t="shared" si="14"/>
        <v>4.8499999999999996</v>
      </c>
      <c r="G21" s="139">
        <f t="shared" si="14"/>
        <v>4.8499999999999996</v>
      </c>
      <c r="H21" s="139">
        <f t="shared" si="14"/>
        <v>4.8499999999999996</v>
      </c>
      <c r="I21" s="139">
        <f t="shared" si="14"/>
        <v>4.8499999999999996</v>
      </c>
      <c r="J21" s="139">
        <f t="shared" si="14"/>
        <v>4.8499999999999996</v>
      </c>
      <c r="K21" s="139">
        <f t="shared" si="14"/>
        <v>4.8499999999999996</v>
      </c>
      <c r="L21" s="139">
        <f t="shared" si="14"/>
        <v>4.8499999999999996</v>
      </c>
      <c r="M21" s="139">
        <f t="shared" si="14"/>
        <v>4.8499999999999996</v>
      </c>
      <c r="N21" s="139">
        <f t="shared" si="14"/>
        <v>4.8499999999999996</v>
      </c>
      <c r="O21" s="139">
        <f t="shared" si="14"/>
        <v>4.8499999999999996</v>
      </c>
      <c r="P21" s="139">
        <f t="shared" si="14"/>
        <v>4.8499999999999996</v>
      </c>
      <c r="Q21" s="139">
        <f t="shared" si="14"/>
        <v>4.8499999999999996</v>
      </c>
      <c r="R21" s="139">
        <f t="shared" si="14"/>
        <v>4.8499999999999996</v>
      </c>
      <c r="S21" s="139">
        <f t="shared" si="14"/>
        <v>4.8499999999999996</v>
      </c>
      <c r="T21" s="139">
        <f t="shared" si="14"/>
        <v>4.8499999999999996</v>
      </c>
      <c r="U21" s="139">
        <f t="shared" si="14"/>
        <v>4.8499999999999996</v>
      </c>
      <c r="V21" s="139">
        <f t="shared" si="14"/>
        <v>4.8499999999999996</v>
      </c>
      <c r="W21" s="139">
        <f t="shared" si="14"/>
        <v>4.8499999999999996</v>
      </c>
      <c r="X21" s="139">
        <f t="shared" si="14"/>
        <v>4.8499999999999996</v>
      </c>
      <c r="Y21" s="139">
        <f t="shared" si="14"/>
        <v>4.8499999999999996</v>
      </c>
      <c r="Z21" s="139">
        <f t="shared" si="14"/>
        <v>4.8499999999999996</v>
      </c>
      <c r="AA21" s="139">
        <f t="shared" si="14"/>
        <v>4.8499999999999996</v>
      </c>
      <c r="AB21" s="119"/>
    </row>
    <row r="22" spans="1:28">
      <c r="A22" s="128" t="s">
        <v>154</v>
      </c>
      <c r="B22" s="128" t="s">
        <v>155</v>
      </c>
      <c r="C22" s="139">
        <f>C18*C21/10^7</f>
        <v>13.921279950000001</v>
      </c>
      <c r="D22" s="139">
        <f t="shared" ref="C22:AA22" si="15">D18*D21/10^7</f>
        <v>13.782067150500003</v>
      </c>
      <c r="E22" s="139">
        <f t="shared" si="15"/>
        <v>13.644246478995001</v>
      </c>
      <c r="F22" s="139">
        <f t="shared" si="15"/>
        <v>13.50780401420505</v>
      </c>
      <c r="G22" s="139">
        <f t="shared" si="15"/>
        <v>13.372725974063</v>
      </c>
      <c r="H22" s="139">
        <f t="shared" si="15"/>
        <v>13.238998714322371</v>
      </c>
      <c r="I22" s="139">
        <f t="shared" si="15"/>
        <v>13.106608727179145</v>
      </c>
      <c r="J22" s="139">
        <f t="shared" si="15"/>
        <v>12.975542639907353</v>
      </c>
      <c r="K22" s="139">
        <f t="shared" si="15"/>
        <v>12.845787213508279</v>
      </c>
      <c r="L22" s="139">
        <f t="shared" si="15"/>
        <v>12.717329341373196</v>
      </c>
      <c r="M22" s="139">
        <f t="shared" si="15"/>
        <v>12.590156047959464</v>
      </c>
      <c r="N22" s="139">
        <f t="shared" si="15"/>
        <v>12.464254487479872</v>
      </c>
      <c r="O22" s="139">
        <f t="shared" si="15"/>
        <v>12.339611942605073</v>
      </c>
      <c r="P22" s="139">
        <f t="shared" si="15"/>
        <v>12.216215823179022</v>
      </c>
      <c r="Q22" s="139">
        <f t="shared" si="15"/>
        <v>12.09405366494723</v>
      </c>
      <c r="R22" s="139">
        <f t="shared" si="15"/>
        <v>11.973113128297758</v>
      </c>
      <c r="S22" s="139">
        <f t="shared" si="15"/>
        <v>11.853381997014782</v>
      </c>
      <c r="T22" s="139">
        <f t="shared" si="15"/>
        <v>11.734848177044633</v>
      </c>
      <c r="U22" s="139">
        <f t="shared" si="15"/>
        <v>11.617499695274185</v>
      </c>
      <c r="V22" s="139">
        <f t="shared" si="15"/>
        <v>11.501324698321445</v>
      </c>
      <c r="W22" s="139">
        <f t="shared" si="15"/>
        <v>11.38631145133823</v>
      </c>
      <c r="X22" s="139">
        <f t="shared" si="15"/>
        <v>11.272448336824848</v>
      </c>
      <c r="Y22" s="139">
        <f t="shared" si="15"/>
        <v>11.159723853456599</v>
      </c>
      <c r="Z22" s="139">
        <f t="shared" si="15"/>
        <v>11.048126614922033</v>
      </c>
      <c r="AA22" s="139">
        <f t="shared" si="15"/>
        <v>10.937645348772813</v>
      </c>
      <c r="AB22" s="119"/>
    </row>
    <row r="23" spans="1:28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19"/>
    </row>
    <row r="24" spans="1:28">
      <c r="A24" s="123" t="s">
        <v>156</v>
      </c>
      <c r="B24" s="124"/>
      <c r="C24" s="124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40"/>
      <c r="AB24" s="119"/>
    </row>
    <row r="25" spans="1:28">
      <c r="A25" s="128" t="s">
        <v>157</v>
      </c>
      <c r="B25" s="128" t="s">
        <v>158</v>
      </c>
      <c r="C25" s="141">
        <f>Assumptions!B11</f>
        <v>6</v>
      </c>
      <c r="D25" s="141">
        <f>C25*(1+Assumptions!$B$12)</f>
        <v>6.18</v>
      </c>
      <c r="E25" s="141">
        <f>D25*(1+Assumptions!$B$12)</f>
        <v>6.3654000000000002</v>
      </c>
      <c r="F25" s="141">
        <f>E25*(1+Assumptions!$B$12)</f>
        <v>6.556362</v>
      </c>
      <c r="G25" s="141">
        <f>F25*(1+Assumptions!$B$12)</f>
        <v>6.7530528600000004</v>
      </c>
      <c r="H25" s="141">
        <f>G25*(1+Assumptions!$B$12)</f>
        <v>6.9556444458000009</v>
      </c>
      <c r="I25" s="141">
        <f>H25*(1+Assumptions!$B$12)</f>
        <v>7.1643137791740008</v>
      </c>
      <c r="J25" s="141">
        <f>I25*(1+Assumptions!$B$12)</f>
        <v>7.3792431925492208</v>
      </c>
      <c r="K25" s="141">
        <f>J25*(1+Assumptions!$B$12)</f>
        <v>7.6006204883256974</v>
      </c>
      <c r="L25" s="141">
        <f>K25*(1+Assumptions!$B$12)</f>
        <v>7.8286391029754681</v>
      </c>
      <c r="M25" s="141">
        <f>L25*(1+Assumptions!$B$12)</f>
        <v>8.0634982760647329</v>
      </c>
      <c r="N25" s="141">
        <f>M25*(1+Assumptions!$B$12)</f>
        <v>8.3054032243466747</v>
      </c>
      <c r="O25" s="141">
        <f>N25*(1+Assumptions!$B$12)</f>
        <v>8.5545653210770745</v>
      </c>
      <c r="P25" s="141">
        <f>O25*(1+Assumptions!$B$12)</f>
        <v>8.8112022807093862</v>
      </c>
      <c r="Q25" s="141">
        <f>P25*(1+Assumptions!$B$12)</f>
        <v>9.0755383491306674</v>
      </c>
      <c r="R25" s="141">
        <f>Q25*(1+Assumptions!$B$12)</f>
        <v>9.347804499604587</v>
      </c>
      <c r="S25" s="141">
        <f>R25*(1+Assumptions!$B$12)</f>
        <v>9.6282386345927247</v>
      </c>
      <c r="T25" s="141">
        <f>S25*(1+Assumptions!$B$12)</f>
        <v>9.9170857936305072</v>
      </c>
      <c r="U25" s="141">
        <f>T25*(1+Assumptions!$B$12)</f>
        <v>10.214598367439423</v>
      </c>
      <c r="V25" s="141">
        <f>U25*(1+Assumptions!$B$12)</f>
        <v>10.521036318462606</v>
      </c>
      <c r="W25" s="141">
        <f>V25*(1+Assumptions!$B$12)</f>
        <v>10.836667408016485</v>
      </c>
      <c r="X25" s="141">
        <f>W25*(1+Assumptions!$B$12)</f>
        <v>11.16176743025698</v>
      </c>
      <c r="Y25" s="141">
        <f>X25*(1+Assumptions!$B$12)</f>
        <v>11.49662045316469</v>
      </c>
      <c r="Z25" s="141">
        <f>Y25*(1+Assumptions!$B$12)</f>
        <v>11.841519066759631</v>
      </c>
      <c r="AA25" s="141">
        <f>Z25*(1+Assumptions!$B$12)</f>
        <v>12.196764638762421</v>
      </c>
      <c r="AB25" s="119"/>
    </row>
    <row r="26" spans="1:28">
      <c r="A26" s="128" t="s">
        <v>76</v>
      </c>
      <c r="B26" s="128" t="s">
        <v>144</v>
      </c>
      <c r="C26" s="131">
        <f>Assumptions!B13</f>
        <v>0.18</v>
      </c>
      <c r="D26" s="131">
        <f t="shared" ref="D26:AA26" si="16">C26</f>
        <v>0.18</v>
      </c>
      <c r="E26" s="131">
        <f t="shared" si="16"/>
        <v>0.18</v>
      </c>
      <c r="F26" s="131">
        <f t="shared" si="16"/>
        <v>0.18</v>
      </c>
      <c r="G26" s="131">
        <f t="shared" si="16"/>
        <v>0.18</v>
      </c>
      <c r="H26" s="131">
        <f t="shared" si="16"/>
        <v>0.18</v>
      </c>
      <c r="I26" s="131">
        <f t="shared" si="16"/>
        <v>0.18</v>
      </c>
      <c r="J26" s="131">
        <f t="shared" si="16"/>
        <v>0.18</v>
      </c>
      <c r="K26" s="131">
        <f t="shared" si="16"/>
        <v>0.18</v>
      </c>
      <c r="L26" s="131">
        <f t="shared" si="16"/>
        <v>0.18</v>
      </c>
      <c r="M26" s="131">
        <f t="shared" si="16"/>
        <v>0.18</v>
      </c>
      <c r="N26" s="131">
        <f t="shared" si="16"/>
        <v>0.18</v>
      </c>
      <c r="O26" s="131">
        <f t="shared" si="16"/>
        <v>0.18</v>
      </c>
      <c r="P26" s="131">
        <f t="shared" si="16"/>
        <v>0.18</v>
      </c>
      <c r="Q26" s="131">
        <f t="shared" si="16"/>
        <v>0.18</v>
      </c>
      <c r="R26" s="131">
        <f t="shared" si="16"/>
        <v>0.18</v>
      </c>
      <c r="S26" s="131">
        <f t="shared" si="16"/>
        <v>0.18</v>
      </c>
      <c r="T26" s="131">
        <f t="shared" si="16"/>
        <v>0.18</v>
      </c>
      <c r="U26" s="131">
        <f t="shared" si="16"/>
        <v>0.18</v>
      </c>
      <c r="V26" s="131">
        <f t="shared" si="16"/>
        <v>0.18</v>
      </c>
      <c r="W26" s="131">
        <f t="shared" si="16"/>
        <v>0.18</v>
      </c>
      <c r="X26" s="131">
        <f t="shared" si="16"/>
        <v>0.18</v>
      </c>
      <c r="Y26" s="131">
        <f t="shared" si="16"/>
        <v>0.18</v>
      </c>
      <c r="Z26" s="131">
        <f t="shared" si="16"/>
        <v>0.18</v>
      </c>
      <c r="AA26" s="131">
        <f t="shared" si="16"/>
        <v>0.18</v>
      </c>
      <c r="AB26" s="119"/>
    </row>
    <row r="27" spans="1:28">
      <c r="A27" s="128" t="s">
        <v>159</v>
      </c>
      <c r="B27" s="128" t="s">
        <v>155</v>
      </c>
      <c r="C27" s="139">
        <f>C25/100*(1+C26)*'Project Cost'!$C$4/1000</f>
        <v>1.4016375119999998</v>
      </c>
      <c r="D27" s="139">
        <f>D25/100*(1+D26)*'Project Cost'!$C$4/1000</f>
        <v>1.4436866373599999</v>
      </c>
      <c r="E27" s="139">
        <f>E25/100*(1+E26)*'Project Cost'!$C$4/1000</f>
        <v>1.4869972364807997</v>
      </c>
      <c r="F27" s="139">
        <f>F25/100*(1+F26)*'Project Cost'!$C$4/1000</f>
        <v>1.531607153575224</v>
      </c>
      <c r="G27" s="139">
        <f>G25/100*(1+G26)*'Project Cost'!$C$4/1000</f>
        <v>1.5775553681824803</v>
      </c>
      <c r="H27" s="139">
        <f>H25/100*(1+H26)*'Project Cost'!$C$4/1000</f>
        <v>1.6248820292279551</v>
      </c>
      <c r="I27" s="139">
        <f>I25/100*(1+I26)*'Project Cost'!$C$4/1000</f>
        <v>1.6736284901047938</v>
      </c>
      <c r="J27" s="139">
        <f>J25/100*(1+J26)*'Project Cost'!$C$4/1000</f>
        <v>1.7238373448079376</v>
      </c>
      <c r="K27" s="139">
        <f>K25/100*(1+K26)*'Project Cost'!$C$4/1000</f>
        <v>1.7755524651521757</v>
      </c>
      <c r="L27" s="139">
        <f>L25/100*(1+L26)*'Project Cost'!$C$4/1000</f>
        <v>1.8288190391067409</v>
      </c>
      <c r="M27" s="139">
        <f>M25/100*(1+M26)*'Project Cost'!$C$4/1000</f>
        <v>1.8836836102799435</v>
      </c>
      <c r="N27" s="139">
        <f>N25/100*(1+N26)*'Project Cost'!$C$4/1000</f>
        <v>1.9401941185883416</v>
      </c>
      <c r="O27" s="139">
        <f>O25/100*(1+O26)*'Project Cost'!$C$4/1000</f>
        <v>1.9983999421459919</v>
      </c>
      <c r="P27" s="139">
        <f>P25/100*(1+P26)*'Project Cost'!$C$4/1000</f>
        <v>2.0583519404103718</v>
      </c>
      <c r="Q27" s="139">
        <f>Q25/100*(1+Q26)*'Project Cost'!$C$4/1000</f>
        <v>2.120102498622682</v>
      </c>
      <c r="R27" s="139">
        <f>R25/100*(1+R26)*'Project Cost'!$C$4/1000</f>
        <v>2.1837055735813626</v>
      </c>
      <c r="S27" s="139">
        <f>S25/100*(1+S26)*'Project Cost'!$C$4/1000</f>
        <v>2.2492167407888037</v>
      </c>
      <c r="T27" s="139">
        <f>T25/100*(1+T26)*'Project Cost'!$C$4/1000</f>
        <v>2.3166932430124683</v>
      </c>
      <c r="U27" s="139">
        <f>U25/100*(1+U26)*'Project Cost'!$C$4/1000</f>
        <v>2.3861940403028421</v>
      </c>
      <c r="V27" s="139">
        <f>V25/100*(1+V26)*'Project Cost'!$C$4/1000</f>
        <v>2.4577798615119275</v>
      </c>
      <c r="W27" s="139">
        <f>W25/100*(1+W26)*'Project Cost'!$C$4/1000</f>
        <v>2.5315132573572856</v>
      </c>
      <c r="X27" s="139">
        <f>X25/100*(1+X26)*'Project Cost'!$C$4/1000</f>
        <v>2.6074586550780046</v>
      </c>
      <c r="Y27" s="139">
        <f>Y25/100*(1+Y26)*'Project Cost'!$C$4/1000</f>
        <v>2.6856824147303446</v>
      </c>
      <c r="Z27" s="139">
        <f>Z25/100*(1+Z26)*'Project Cost'!$C$4/1000</f>
        <v>2.7662528871722549</v>
      </c>
      <c r="AA27" s="139">
        <f>AA25/100*(1+AA26)*'Project Cost'!$C$4/1000</f>
        <v>2.8492404737874231</v>
      </c>
      <c r="AB27" s="119"/>
    </row>
    <row r="28" spans="1:28">
      <c r="A28" s="124"/>
      <c r="B28" s="124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119"/>
    </row>
    <row r="29" spans="1:28">
      <c r="A29" s="142" t="s">
        <v>160</v>
      </c>
      <c r="B29" s="128" t="s">
        <v>155</v>
      </c>
      <c r="C29" s="139">
        <f t="shared" ref="C29:AA29" si="17">C22-C27</f>
        <v>12.519642438000002</v>
      </c>
      <c r="D29" s="139">
        <f t="shared" si="17"/>
        <v>12.338380513140002</v>
      </c>
      <c r="E29" s="139">
        <f t="shared" si="17"/>
        <v>12.157249242514201</v>
      </c>
      <c r="F29" s="139">
        <f t="shared" si="17"/>
        <v>11.976196860629825</v>
      </c>
      <c r="G29" s="139">
        <f t="shared" si="17"/>
        <v>11.79517060588052</v>
      </c>
      <c r="H29" s="139">
        <f t="shared" si="17"/>
        <v>11.614116685094416</v>
      </c>
      <c r="I29" s="139">
        <f t="shared" si="17"/>
        <v>11.432980237074352</v>
      </c>
      <c r="J29" s="139">
        <f t="shared" si="17"/>
        <v>11.251705295099415</v>
      </c>
      <c r="K29" s="139">
        <f t="shared" si="17"/>
        <v>11.070234748356103</v>
      </c>
      <c r="L29" s="139">
        <f t="shared" si="17"/>
        <v>10.888510302266456</v>
      </c>
      <c r="M29" s="139">
        <f t="shared" si="17"/>
        <v>10.706472437679521</v>
      </c>
      <c r="N29" s="139">
        <f t="shared" si="17"/>
        <v>10.524060368891531</v>
      </c>
      <c r="O29" s="139">
        <f t="shared" si="17"/>
        <v>10.34121200045908</v>
      </c>
      <c r="P29" s="139">
        <f t="shared" si="17"/>
        <v>10.15786388276865</v>
      </c>
      <c r="Q29" s="139">
        <f t="shared" si="17"/>
        <v>9.9739511663245484</v>
      </c>
      <c r="R29" s="139">
        <f t="shared" si="17"/>
        <v>9.7894075547163943</v>
      </c>
      <c r="S29" s="139">
        <f t="shared" si="17"/>
        <v>9.6041652562259792</v>
      </c>
      <c r="T29" s="139">
        <f t="shared" si="17"/>
        <v>9.4181549340321649</v>
      </c>
      <c r="U29" s="139">
        <f t="shared" si="17"/>
        <v>9.2313056549713437</v>
      </c>
      <c r="V29" s="139">
        <f t="shared" si="17"/>
        <v>9.0435448368095184</v>
      </c>
      <c r="W29" s="139">
        <f t="shared" si="17"/>
        <v>8.8547981939809439</v>
      </c>
      <c r="X29" s="139">
        <f t="shared" si="17"/>
        <v>8.6649896817468424</v>
      </c>
      <c r="Y29" s="139">
        <f t="shared" si="17"/>
        <v>8.474041438726255</v>
      </c>
      <c r="Z29" s="139">
        <f t="shared" si="17"/>
        <v>8.2818737277497778</v>
      </c>
      <c r="AA29" s="139">
        <f t="shared" si="17"/>
        <v>8.0884048749853896</v>
      </c>
      <c r="AB29" s="119"/>
    </row>
    <row r="30" spans="1:28">
      <c r="A30" s="124"/>
      <c r="B30" s="124"/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19"/>
    </row>
    <row r="31" spans="1:28">
      <c r="A31" s="128" t="s">
        <v>161</v>
      </c>
      <c r="B31" s="128" t="s">
        <v>155</v>
      </c>
      <c r="C31" s="139">
        <f>'Repayment Sch'!H14</f>
        <v>5.7421418945527005</v>
      </c>
      <c r="D31" s="139">
        <f>'Repayment Sch'!H26</f>
        <v>5.4014359355416106</v>
      </c>
      <c r="E31" s="139">
        <f>'Repayment Sch'!H38</f>
        <v>5.0025606664554569</v>
      </c>
      <c r="F31" s="139">
        <f>'Repayment Sch'!H50</f>
        <v>4.6036853973693042</v>
      </c>
      <c r="G31" s="139">
        <f>'Repayment Sch'!H62</f>
        <v>4.2048101282831496</v>
      </c>
      <c r="H31" s="139">
        <f>'Repayment Sch'!H74</f>
        <v>3.8059348591969955</v>
      </c>
      <c r="I31" s="139">
        <f>'Repayment Sch'!H86</f>
        <v>3.4070595901108431</v>
      </c>
      <c r="J31" s="139">
        <f>'Repayment Sch'!H98</f>
        <v>3.008184321024689</v>
      </c>
      <c r="K31" s="139">
        <f>'Repayment Sch'!H110</f>
        <v>2.6093090519385385</v>
      </c>
      <c r="L31" s="139">
        <f>'Repayment Sch'!H122</f>
        <v>2.2104337828523888</v>
      </c>
      <c r="M31" s="139">
        <f>'Repayment Sch'!H134</f>
        <v>1.8115585137662391</v>
      </c>
      <c r="N31" s="139">
        <f>'Repayment Sch'!H146</f>
        <v>1.4126832446800894</v>
      </c>
      <c r="O31" s="139">
        <f>'Repayment Sch'!H158</f>
        <v>1.0138079755939398</v>
      </c>
      <c r="P31" s="139">
        <f>'Repayment Sch'!H170</f>
        <v>0.61493270650778997</v>
      </c>
      <c r="Q31" s="139">
        <f>'Repayment Sch'!H182</f>
        <v>0.2160574374216401</v>
      </c>
      <c r="R31" s="139">
        <f>'Repayment Sch'!H194</f>
        <v>0</v>
      </c>
      <c r="S31" s="139">
        <v>0</v>
      </c>
      <c r="T31" s="139">
        <v>0</v>
      </c>
      <c r="U31" s="139">
        <v>0</v>
      </c>
      <c r="V31" s="139">
        <v>0</v>
      </c>
      <c r="W31" s="139">
        <v>0</v>
      </c>
      <c r="X31" s="139">
        <v>0</v>
      </c>
      <c r="Y31" s="139">
        <v>0</v>
      </c>
      <c r="Z31" s="139">
        <v>0</v>
      </c>
      <c r="AA31" s="139">
        <v>0</v>
      </c>
      <c r="AB31" s="143">
        <f>SUM(A31:AA31)</f>
        <v>45.064595505295365</v>
      </c>
    </row>
    <row r="32" spans="1:28">
      <c r="A32" s="128" t="s">
        <v>162</v>
      </c>
      <c r="B32" s="128" t="s">
        <v>155</v>
      </c>
      <c r="C32" s="139">
        <f>'Project Cost'!H7*Assumptions!$B$17</f>
        <v>3.5729367732813437</v>
      </c>
      <c r="D32" s="139">
        <f t="shared" ref="D32:AA32" si="18">C32</f>
        <v>3.5729367732813437</v>
      </c>
      <c r="E32" s="139">
        <f t="shared" si="18"/>
        <v>3.5729367732813437</v>
      </c>
      <c r="F32" s="139">
        <f t="shared" si="18"/>
        <v>3.5729367732813437</v>
      </c>
      <c r="G32" s="139">
        <f t="shared" si="18"/>
        <v>3.5729367732813437</v>
      </c>
      <c r="H32" s="139">
        <f t="shared" si="18"/>
        <v>3.5729367732813437</v>
      </c>
      <c r="I32" s="139">
        <f t="shared" si="18"/>
        <v>3.5729367732813437</v>
      </c>
      <c r="J32" s="139">
        <f t="shared" si="18"/>
        <v>3.5729367732813437</v>
      </c>
      <c r="K32" s="139">
        <f t="shared" si="18"/>
        <v>3.5729367732813437</v>
      </c>
      <c r="L32" s="139">
        <f t="shared" si="18"/>
        <v>3.5729367732813437</v>
      </c>
      <c r="M32" s="139">
        <f t="shared" si="18"/>
        <v>3.5729367732813437</v>
      </c>
      <c r="N32" s="139">
        <f t="shared" si="18"/>
        <v>3.5729367732813437</v>
      </c>
      <c r="O32" s="139">
        <f t="shared" si="18"/>
        <v>3.5729367732813437</v>
      </c>
      <c r="P32" s="139">
        <f t="shared" si="18"/>
        <v>3.5729367732813437</v>
      </c>
      <c r="Q32" s="139">
        <f t="shared" si="18"/>
        <v>3.5729367732813437</v>
      </c>
      <c r="R32" s="139">
        <f t="shared" si="18"/>
        <v>3.5729367732813437</v>
      </c>
      <c r="S32" s="139">
        <f t="shared" si="18"/>
        <v>3.5729367732813437</v>
      </c>
      <c r="T32" s="139">
        <f t="shared" si="18"/>
        <v>3.5729367732813437</v>
      </c>
      <c r="U32" s="139">
        <f t="shared" si="18"/>
        <v>3.5729367732813437</v>
      </c>
      <c r="V32" s="139">
        <f t="shared" si="18"/>
        <v>3.5729367732813437</v>
      </c>
      <c r="W32" s="139">
        <f t="shared" si="18"/>
        <v>3.5729367732813437</v>
      </c>
      <c r="X32" s="139">
        <f t="shared" si="18"/>
        <v>3.5729367732813437</v>
      </c>
      <c r="Y32" s="139">
        <f t="shared" si="18"/>
        <v>3.5729367732813437</v>
      </c>
      <c r="Z32" s="139">
        <f t="shared" si="18"/>
        <v>3.5729367732813437</v>
      </c>
      <c r="AA32" s="139">
        <f t="shared" si="18"/>
        <v>3.5729367732813437</v>
      </c>
      <c r="AB32" s="119"/>
    </row>
    <row r="33" spans="1:28">
      <c r="A33" s="124"/>
      <c r="B33" s="124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136"/>
      <c r="V33" s="136"/>
      <c r="W33" s="136"/>
      <c r="X33" s="136"/>
      <c r="Y33" s="136"/>
      <c r="Z33" s="136"/>
      <c r="AA33" s="136"/>
      <c r="AB33" s="119"/>
    </row>
    <row r="34" spans="1:28">
      <c r="A34" s="142" t="s">
        <v>163</v>
      </c>
      <c r="B34" s="128" t="s">
        <v>155</v>
      </c>
      <c r="C34" s="139">
        <f t="shared" ref="C34:AA34" si="19">C29-C31-C32</f>
        <v>3.2045637701659575</v>
      </c>
      <c r="D34" s="139">
        <f t="shared" si="19"/>
        <v>3.364007804317048</v>
      </c>
      <c r="E34" s="139">
        <f t="shared" si="19"/>
        <v>3.5817518027774002</v>
      </c>
      <c r="F34" s="139">
        <f t="shared" si="19"/>
        <v>3.7995746899791771</v>
      </c>
      <c r="G34" s="139">
        <f t="shared" si="19"/>
        <v>4.0174237043160268</v>
      </c>
      <c r="H34" s="139">
        <f t="shared" si="19"/>
        <v>4.2352450526160776</v>
      </c>
      <c r="I34" s="139">
        <f t="shared" si="19"/>
        <v>4.4529838736821663</v>
      </c>
      <c r="J34" s="139">
        <f t="shared" si="19"/>
        <v>4.6705842007933818</v>
      </c>
      <c r="K34" s="139">
        <f t="shared" si="19"/>
        <v>4.8879889231362217</v>
      </c>
      <c r="L34" s="139">
        <f t="shared" si="19"/>
        <v>5.105139746132723</v>
      </c>
      <c r="M34" s="139">
        <f t="shared" si="19"/>
        <v>5.3219771506319393</v>
      </c>
      <c r="N34" s="139">
        <f t="shared" si="19"/>
        <v>5.5384403509300988</v>
      </c>
      <c r="O34" s="139">
        <f t="shared" si="19"/>
        <v>5.7544672515837973</v>
      </c>
      <c r="P34" s="139">
        <f t="shared" si="19"/>
        <v>5.9699944029795162</v>
      </c>
      <c r="Q34" s="139">
        <f t="shared" si="19"/>
        <v>6.1849569556215656</v>
      </c>
      <c r="R34" s="139">
        <f t="shared" si="19"/>
        <v>6.2164707814350511</v>
      </c>
      <c r="S34" s="139">
        <f t="shared" si="19"/>
        <v>6.0312284829446359</v>
      </c>
      <c r="T34" s="139">
        <f t="shared" si="19"/>
        <v>5.8452181607508216</v>
      </c>
      <c r="U34" s="139">
        <f t="shared" si="19"/>
        <v>5.6583688816900004</v>
      </c>
      <c r="V34" s="139">
        <f t="shared" si="19"/>
        <v>5.4706080635281751</v>
      </c>
      <c r="W34" s="139">
        <f t="shared" si="19"/>
        <v>5.2818614206996006</v>
      </c>
      <c r="X34" s="139">
        <f t="shared" si="19"/>
        <v>5.0920529084654991</v>
      </c>
      <c r="Y34" s="139">
        <f t="shared" si="19"/>
        <v>4.9011046654449117</v>
      </c>
      <c r="Z34" s="139">
        <f t="shared" si="19"/>
        <v>4.7089369544684345</v>
      </c>
      <c r="AA34" s="139">
        <f t="shared" si="19"/>
        <v>4.5154681017040463</v>
      </c>
      <c r="AB34" s="119"/>
    </row>
    <row r="35" spans="1:28">
      <c r="A35" s="124"/>
      <c r="B35" s="124"/>
      <c r="C35" s="136"/>
      <c r="D35" s="136"/>
      <c r="E35" s="136"/>
      <c r="F35" s="136"/>
      <c r="G35" s="136"/>
      <c r="H35" s="136"/>
      <c r="I35" s="136"/>
      <c r="J35" s="136"/>
      <c r="K35" s="136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  <c r="X35" s="136"/>
      <c r="Y35" s="136"/>
      <c r="Z35" s="136"/>
      <c r="AA35" s="136"/>
      <c r="AB35" s="119"/>
    </row>
    <row r="36" spans="1:28">
      <c r="A36" s="128" t="s">
        <v>164</v>
      </c>
      <c r="B36" s="128" t="s">
        <v>155</v>
      </c>
      <c r="C36" s="139">
        <v>0</v>
      </c>
      <c r="D36" s="139">
        <v>0</v>
      </c>
      <c r="E36" s="139">
        <v>0</v>
      </c>
      <c r="F36" s="139">
        <v>0</v>
      </c>
      <c r="G36" s="139">
        <v>0</v>
      </c>
      <c r="H36" s="139">
        <v>0</v>
      </c>
      <c r="I36" s="139">
        <v>0</v>
      </c>
      <c r="J36" s="139">
        <v>0</v>
      </c>
      <c r="K36" s="139">
        <v>0</v>
      </c>
      <c r="L36" s="139">
        <v>0</v>
      </c>
      <c r="M36" s="139">
        <v>0</v>
      </c>
      <c r="N36" s="139">
        <v>0</v>
      </c>
      <c r="O36" s="139">
        <v>0</v>
      </c>
      <c r="P36" s="139">
        <v>0</v>
      </c>
      <c r="Q36" s="139">
        <v>0</v>
      </c>
      <c r="R36" s="139">
        <v>0</v>
      </c>
      <c r="S36" s="139">
        <v>0</v>
      </c>
      <c r="T36" s="139">
        <v>0</v>
      </c>
      <c r="U36" s="139">
        <v>0</v>
      </c>
      <c r="V36" s="139">
        <v>0</v>
      </c>
      <c r="W36" s="139">
        <v>0</v>
      </c>
      <c r="X36" s="139">
        <v>0</v>
      </c>
      <c r="Y36" s="139">
        <v>0</v>
      </c>
      <c r="Z36" s="139">
        <v>0</v>
      </c>
      <c r="AA36" s="139">
        <v>0</v>
      </c>
      <c r="AB36" s="119"/>
    </row>
    <row r="37" spans="1:28">
      <c r="A37" s="124"/>
      <c r="B37" s="124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  <c r="V37" s="136"/>
      <c r="W37" s="136"/>
      <c r="X37" s="136"/>
      <c r="Y37" s="136"/>
      <c r="Z37" s="136"/>
      <c r="AA37" s="136"/>
      <c r="AB37" s="119"/>
    </row>
    <row r="38" spans="1:28">
      <c r="A38" s="142" t="s">
        <v>165</v>
      </c>
      <c r="B38" s="128" t="s">
        <v>155</v>
      </c>
      <c r="C38" s="139">
        <f t="shared" ref="C38:AA38" si="20">C34-C36</f>
        <v>3.2045637701659575</v>
      </c>
      <c r="D38" s="139">
        <f t="shared" si="20"/>
        <v>3.364007804317048</v>
      </c>
      <c r="E38" s="139">
        <f t="shared" si="20"/>
        <v>3.5817518027774002</v>
      </c>
      <c r="F38" s="139">
        <f t="shared" si="20"/>
        <v>3.7995746899791771</v>
      </c>
      <c r="G38" s="139">
        <f t="shared" si="20"/>
        <v>4.0174237043160268</v>
      </c>
      <c r="H38" s="139">
        <f t="shared" si="20"/>
        <v>4.2352450526160776</v>
      </c>
      <c r="I38" s="139">
        <f t="shared" si="20"/>
        <v>4.4529838736821663</v>
      </c>
      <c r="J38" s="139">
        <f t="shared" si="20"/>
        <v>4.6705842007933818</v>
      </c>
      <c r="K38" s="139">
        <f t="shared" si="20"/>
        <v>4.8879889231362217</v>
      </c>
      <c r="L38" s="139">
        <f t="shared" si="20"/>
        <v>5.105139746132723</v>
      </c>
      <c r="M38" s="139">
        <f t="shared" si="20"/>
        <v>5.3219771506319393</v>
      </c>
      <c r="N38" s="139">
        <f t="shared" si="20"/>
        <v>5.5384403509300988</v>
      </c>
      <c r="O38" s="139">
        <f t="shared" si="20"/>
        <v>5.7544672515837973</v>
      </c>
      <c r="P38" s="139">
        <f t="shared" si="20"/>
        <v>5.9699944029795162</v>
      </c>
      <c r="Q38" s="139">
        <f t="shared" si="20"/>
        <v>6.1849569556215656</v>
      </c>
      <c r="R38" s="139">
        <f t="shared" si="20"/>
        <v>6.2164707814350511</v>
      </c>
      <c r="S38" s="139">
        <f t="shared" si="20"/>
        <v>6.0312284829446359</v>
      </c>
      <c r="T38" s="139">
        <f t="shared" si="20"/>
        <v>5.8452181607508216</v>
      </c>
      <c r="U38" s="139">
        <f t="shared" si="20"/>
        <v>5.6583688816900004</v>
      </c>
      <c r="V38" s="139">
        <f t="shared" si="20"/>
        <v>5.4706080635281751</v>
      </c>
      <c r="W38" s="139">
        <f t="shared" si="20"/>
        <v>5.2818614206996006</v>
      </c>
      <c r="X38" s="139">
        <f t="shared" si="20"/>
        <v>5.0920529084654991</v>
      </c>
      <c r="Y38" s="139">
        <f t="shared" si="20"/>
        <v>4.9011046654449117</v>
      </c>
      <c r="Z38" s="139">
        <f t="shared" si="20"/>
        <v>4.7089369544684345</v>
      </c>
      <c r="AA38" s="139">
        <f t="shared" si="20"/>
        <v>4.5154681017040463</v>
      </c>
      <c r="AB38" s="119"/>
    </row>
    <row r="39" spans="1:28">
      <c r="A39" s="128" t="s">
        <v>166</v>
      </c>
      <c r="B39" s="128" t="s">
        <v>155</v>
      </c>
      <c r="C39" s="139">
        <f t="shared" ref="C39:AA39" si="21">C38+C32</f>
        <v>6.7775005434473012</v>
      </c>
      <c r="D39" s="139">
        <f t="shared" si="21"/>
        <v>6.9369445775983918</v>
      </c>
      <c r="E39" s="139">
        <f t="shared" si="21"/>
        <v>7.154688576058744</v>
      </c>
      <c r="F39" s="139">
        <f t="shared" si="21"/>
        <v>7.3725114632605209</v>
      </c>
      <c r="G39" s="139">
        <f t="shared" si="21"/>
        <v>7.5903604775973701</v>
      </c>
      <c r="H39" s="139">
        <f t="shared" si="21"/>
        <v>7.8081818258974209</v>
      </c>
      <c r="I39" s="139">
        <f t="shared" si="21"/>
        <v>8.0259206469635096</v>
      </c>
      <c r="J39" s="139">
        <f t="shared" si="21"/>
        <v>8.2435209740747251</v>
      </c>
      <c r="K39" s="139">
        <f t="shared" si="21"/>
        <v>8.460925696417565</v>
      </c>
      <c r="L39" s="139">
        <f t="shared" si="21"/>
        <v>8.6780765194140663</v>
      </c>
      <c r="M39" s="139">
        <f t="shared" si="21"/>
        <v>8.8949139239132826</v>
      </c>
      <c r="N39" s="139">
        <f t="shared" si="21"/>
        <v>9.1113771242114421</v>
      </c>
      <c r="O39" s="139">
        <f t="shared" si="21"/>
        <v>9.3274040248651406</v>
      </c>
      <c r="P39" s="139">
        <f t="shared" si="21"/>
        <v>9.5429311762608595</v>
      </c>
      <c r="Q39" s="139">
        <f t="shared" si="21"/>
        <v>9.7578937289029088</v>
      </c>
      <c r="R39" s="139">
        <f t="shared" si="21"/>
        <v>9.7894075547163943</v>
      </c>
      <c r="S39" s="139">
        <f t="shared" si="21"/>
        <v>9.6041652562259792</v>
      </c>
      <c r="T39" s="139">
        <f t="shared" si="21"/>
        <v>9.4181549340321649</v>
      </c>
      <c r="U39" s="139">
        <f t="shared" si="21"/>
        <v>9.2313056549713437</v>
      </c>
      <c r="V39" s="139">
        <f t="shared" si="21"/>
        <v>9.0435448368095184</v>
      </c>
      <c r="W39" s="139">
        <f t="shared" si="21"/>
        <v>8.8547981939809439</v>
      </c>
      <c r="X39" s="139">
        <f t="shared" si="21"/>
        <v>8.6649896817468424</v>
      </c>
      <c r="Y39" s="139">
        <f t="shared" si="21"/>
        <v>8.474041438726255</v>
      </c>
      <c r="Z39" s="139">
        <f t="shared" si="21"/>
        <v>8.2818737277497778</v>
      </c>
      <c r="AA39" s="139">
        <f t="shared" si="21"/>
        <v>8.0884048749853896</v>
      </c>
      <c r="AB39" s="119"/>
    </row>
    <row r="40" spans="1:28">
      <c r="A40" s="124"/>
      <c r="B40" s="124"/>
      <c r="C40" s="124"/>
      <c r="D40" s="124"/>
      <c r="E40" s="124"/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6"/>
      <c r="Y40" s="136"/>
      <c r="Z40" s="136"/>
      <c r="AA40" s="124"/>
      <c r="AB40" s="119"/>
    </row>
    <row r="41" spans="1:28">
      <c r="A41" s="144" t="s">
        <v>167</v>
      </c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6"/>
      <c r="AA41" s="146"/>
      <c r="AB41" s="119"/>
    </row>
    <row r="42" spans="1:28">
      <c r="A42" s="147" t="s">
        <v>167</v>
      </c>
      <c r="B42" s="148">
        <f>'Repayment Sch'!B2</f>
        <v>62.526393532423512</v>
      </c>
      <c r="C42" s="139">
        <f>'Repayment Sch'!B14</f>
        <v>60.370310996822681</v>
      </c>
      <c r="D42" s="139">
        <f>'Repayment Sch'!B26</f>
        <v>56.05814592562102</v>
      </c>
      <c r="E42" s="139">
        <f>'Repayment Sch'!B38</f>
        <v>51.745980854419358</v>
      </c>
      <c r="F42" s="139">
        <f>'Repayment Sch'!B50</f>
        <v>47.433815783217696</v>
      </c>
      <c r="G42" s="139">
        <f>'Repayment Sch'!B62</f>
        <v>43.121650712016034</v>
      </c>
      <c r="H42" s="139">
        <f>'Repayment Sch'!B74</f>
        <v>38.809485640814373</v>
      </c>
      <c r="I42" s="139">
        <f>'Repayment Sch'!B86</f>
        <v>34.497320569612711</v>
      </c>
      <c r="J42" s="139">
        <f>'Repayment Sch'!B98</f>
        <v>30.185155498411071</v>
      </c>
      <c r="K42" s="139">
        <f>'Repayment Sch'!B110</f>
        <v>25.872990427209452</v>
      </c>
      <c r="L42" s="139">
        <f>'Repayment Sch'!B122</f>
        <v>21.560825356007832</v>
      </c>
      <c r="M42" s="139">
        <f>'Repayment Sch'!B134</f>
        <v>17.248660284806213</v>
      </c>
      <c r="N42" s="139">
        <f>'Repayment Sch'!B146</f>
        <v>12.936495213604594</v>
      </c>
      <c r="O42" s="139">
        <f>'Repayment Sch'!B158</f>
        <v>8.6243301424029752</v>
      </c>
      <c r="P42" s="139">
        <f>'Repayment Sch'!B170</f>
        <v>4.3121650712013562</v>
      </c>
      <c r="Q42" s="139">
        <f>'Repayment Sch'!B182</f>
        <v>-2.6423307986078726E-13</v>
      </c>
      <c r="R42" s="139">
        <f>'Repayment Sch'!B185</f>
        <v>0</v>
      </c>
      <c r="S42" s="139">
        <v>0</v>
      </c>
      <c r="T42" s="136"/>
      <c r="U42" s="136"/>
      <c r="V42" s="136"/>
      <c r="W42" s="136"/>
      <c r="X42" s="136"/>
      <c r="Y42" s="136"/>
      <c r="Z42" s="136"/>
      <c r="AA42" s="136"/>
      <c r="AB42" s="119"/>
    </row>
    <row r="43" spans="1:28">
      <c r="A43" s="147" t="s">
        <v>168</v>
      </c>
      <c r="B43" s="124"/>
      <c r="C43" s="141">
        <f>'Repayment Sch'!I14</f>
        <v>2.1560825356008109</v>
      </c>
      <c r="D43" s="141">
        <f>'Repayment Sch'!I26</f>
        <v>4.3121650712016208</v>
      </c>
      <c r="E43" s="141">
        <f>'Repayment Sch'!I38</f>
        <v>4.3121650712016208</v>
      </c>
      <c r="F43" s="141">
        <f>'Repayment Sch'!I50</f>
        <v>4.3121650712016208</v>
      </c>
      <c r="G43" s="141">
        <f>'Repayment Sch'!I62</f>
        <v>4.3121650712016208</v>
      </c>
      <c r="H43" s="141">
        <f>'Repayment Sch'!I74</f>
        <v>4.3121650712016208</v>
      </c>
      <c r="I43" s="141">
        <f>'Repayment Sch'!I86</f>
        <v>4.3121650712016208</v>
      </c>
      <c r="J43" s="141">
        <f>'Repayment Sch'!I98</f>
        <v>4.3121650712016208</v>
      </c>
      <c r="K43" s="141">
        <f>'Repayment Sch'!I110</f>
        <v>4.3121650712016208</v>
      </c>
      <c r="L43" s="141">
        <f>'Repayment Sch'!I122</f>
        <v>4.3121650712016208</v>
      </c>
      <c r="M43" s="141">
        <f>'Repayment Sch'!I134</f>
        <v>4.3121650712016208</v>
      </c>
      <c r="N43" s="141">
        <f>'Repayment Sch'!I146</f>
        <v>4.3121650712016208</v>
      </c>
      <c r="O43" s="141">
        <f>'Repayment Sch'!I158</f>
        <v>4.3121650712016208</v>
      </c>
      <c r="P43" s="141">
        <f>'Repayment Sch'!I170</f>
        <v>4.3121650712016208</v>
      </c>
      <c r="Q43" s="141">
        <f>'Repayment Sch'!I182</f>
        <v>4.3121650712016208</v>
      </c>
      <c r="R43" s="141">
        <v>0</v>
      </c>
      <c r="S43" s="141">
        <v>0</v>
      </c>
      <c r="T43" s="149"/>
      <c r="U43" s="149"/>
      <c r="V43" s="149"/>
      <c r="W43" s="149"/>
      <c r="X43" s="149"/>
      <c r="Y43" s="136"/>
      <c r="Z43" s="136"/>
      <c r="AA43" s="136"/>
      <c r="AB43" s="143">
        <f t="shared" ref="AB43:AB44" si="22">SUM(A43:AA43)</f>
        <v>62.526393532423484</v>
      </c>
    </row>
    <row r="44" spans="1:28">
      <c r="A44" s="124"/>
      <c r="B44" s="124"/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24"/>
      <c r="AA44" s="124"/>
      <c r="AB44" s="119">
        <f t="shared" si="22"/>
        <v>0</v>
      </c>
    </row>
    <row r="45" spans="1:28">
      <c r="A45" s="124"/>
      <c r="B45" s="124"/>
      <c r="C45" s="150">
        <f t="shared" ref="C45:V45" si="23">C42/100</f>
        <v>0.60370310996822685</v>
      </c>
      <c r="D45" s="150">
        <f t="shared" si="23"/>
        <v>0.56058145925621017</v>
      </c>
      <c r="E45" s="150">
        <f t="shared" si="23"/>
        <v>0.5174598085441936</v>
      </c>
      <c r="F45" s="150">
        <f t="shared" si="23"/>
        <v>0.47433815783217698</v>
      </c>
      <c r="G45" s="150">
        <f t="shared" si="23"/>
        <v>0.43121650712016035</v>
      </c>
      <c r="H45" s="150">
        <f t="shared" si="23"/>
        <v>0.38809485640814373</v>
      </c>
      <c r="I45" s="150">
        <f t="shared" si="23"/>
        <v>0.34497320569612711</v>
      </c>
      <c r="J45" s="150">
        <f t="shared" si="23"/>
        <v>0.3018515549841107</v>
      </c>
      <c r="K45" s="150">
        <f t="shared" si="23"/>
        <v>0.25872990427209452</v>
      </c>
      <c r="L45" s="150">
        <f t="shared" si="23"/>
        <v>0.21560825356007832</v>
      </c>
      <c r="M45" s="150">
        <f t="shared" si="23"/>
        <v>0.17248660284806214</v>
      </c>
      <c r="N45" s="150">
        <f t="shared" si="23"/>
        <v>0.12936495213604593</v>
      </c>
      <c r="O45" s="150">
        <f t="shared" si="23"/>
        <v>8.624330142402975E-2</v>
      </c>
      <c r="P45" s="150">
        <f t="shared" si="23"/>
        <v>4.3121650712013564E-2</v>
      </c>
      <c r="Q45" s="150">
        <f t="shared" si="23"/>
        <v>-2.6423307986078726E-15</v>
      </c>
      <c r="R45" s="150">
        <f t="shared" si="23"/>
        <v>0</v>
      </c>
      <c r="S45" s="150">
        <f t="shared" si="23"/>
        <v>0</v>
      </c>
      <c r="T45" s="150">
        <f t="shared" si="23"/>
        <v>0</v>
      </c>
      <c r="U45" s="150">
        <f t="shared" si="23"/>
        <v>0</v>
      </c>
      <c r="V45" s="150">
        <f t="shared" si="23"/>
        <v>0</v>
      </c>
      <c r="W45" s="124"/>
      <c r="X45" s="124"/>
      <c r="Y45" s="124"/>
      <c r="Z45" s="124"/>
      <c r="AA45" s="124"/>
      <c r="AB45" s="119"/>
    </row>
    <row r="46" spans="1:28">
      <c r="A46" s="124"/>
      <c r="B46" s="124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  <c r="V46" s="124"/>
      <c r="W46" s="124"/>
      <c r="X46" s="124"/>
      <c r="Y46" s="124"/>
      <c r="Z46" s="124"/>
      <c r="AA46" s="124"/>
      <c r="AB46" s="119"/>
    </row>
    <row r="47" spans="1:28">
      <c r="A47" s="124"/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124"/>
      <c r="T47" s="124"/>
      <c r="U47" s="124"/>
      <c r="V47" s="124"/>
      <c r="W47" s="124"/>
      <c r="X47" s="124"/>
      <c r="Y47" s="124"/>
      <c r="Z47" s="124"/>
      <c r="AA47" s="124"/>
      <c r="AB47" s="119"/>
    </row>
    <row r="48" spans="1:28">
      <c r="A48" s="124"/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1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AA44"/>
  <sheetViews>
    <sheetView workbookViewId="0">
      <selection activeCell="C18" sqref="C18"/>
    </sheetView>
  </sheetViews>
  <sheetFormatPr defaultColWidth="11.25" defaultRowHeight="15" customHeight="1"/>
  <cols>
    <col min="1" max="1" width="2.5" customWidth="1"/>
    <col min="2" max="2" width="30.125" customWidth="1"/>
    <col min="3" max="16" width="8.625" customWidth="1"/>
    <col min="17" max="17" width="12.875" customWidth="1"/>
    <col min="18" max="27" width="8.625" customWidth="1"/>
  </cols>
  <sheetData>
    <row r="1" spans="1:27">
      <c r="A1" s="151"/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</row>
    <row r="2" spans="1:27">
      <c r="A2" s="324" t="s">
        <v>169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5"/>
      <c r="Q2" s="325"/>
      <c r="R2" s="151"/>
      <c r="S2" s="151"/>
      <c r="T2" s="151"/>
      <c r="U2" s="151"/>
      <c r="V2" s="151"/>
      <c r="W2" s="151"/>
      <c r="X2" s="151"/>
      <c r="Y2" s="151"/>
      <c r="Z2" s="151"/>
      <c r="AA2" s="151"/>
    </row>
    <row r="3" spans="1:27">
      <c r="A3" s="151"/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2" t="s">
        <v>170</v>
      </c>
      <c r="R3" s="151"/>
      <c r="S3" s="151"/>
      <c r="T3" s="151"/>
      <c r="U3" s="151"/>
      <c r="V3" s="151"/>
      <c r="W3" s="151"/>
      <c r="X3" s="151"/>
      <c r="Y3" s="151"/>
      <c r="Z3" s="151"/>
      <c r="AA3" s="151"/>
    </row>
    <row r="4" spans="1:27">
      <c r="A4" s="151"/>
      <c r="B4" s="153" t="s">
        <v>131</v>
      </c>
      <c r="C4" s="154">
        <f>'P&amp;L Proj'!C2</f>
        <v>46112</v>
      </c>
      <c r="D4" s="154">
        <f>'P&amp;L Proj'!D2</f>
        <v>46477</v>
      </c>
      <c r="E4" s="154">
        <f>'P&amp;L Proj'!E2</f>
        <v>46843</v>
      </c>
      <c r="F4" s="154">
        <f>'P&amp;L Proj'!F2</f>
        <v>47208</v>
      </c>
      <c r="G4" s="154">
        <f>'P&amp;L Proj'!G2</f>
        <v>47573</v>
      </c>
      <c r="H4" s="154">
        <f>'P&amp;L Proj'!H2</f>
        <v>47938</v>
      </c>
      <c r="I4" s="154">
        <f>'P&amp;L Proj'!I2</f>
        <v>48304</v>
      </c>
      <c r="J4" s="154">
        <f>'P&amp;L Proj'!J2</f>
        <v>48669</v>
      </c>
      <c r="K4" s="154">
        <f>'P&amp;L Proj'!K2</f>
        <v>49034</v>
      </c>
      <c r="L4" s="154">
        <f>'P&amp;L Proj'!L2</f>
        <v>49399</v>
      </c>
      <c r="M4" s="154">
        <f>'P&amp;L Proj'!M2</f>
        <v>49765</v>
      </c>
      <c r="N4" s="154">
        <f>'P&amp;L Proj'!N2</f>
        <v>50130</v>
      </c>
      <c r="O4" s="154">
        <f>'P&amp;L Proj'!O2</f>
        <v>50495</v>
      </c>
      <c r="P4" s="154">
        <f>'P&amp;L Proj'!P2</f>
        <v>50860</v>
      </c>
      <c r="Q4" s="154">
        <f>'P&amp;L Proj'!Q2</f>
        <v>51226</v>
      </c>
      <c r="R4" s="154">
        <f>'P&amp;L Proj'!R2</f>
        <v>51591</v>
      </c>
      <c r="S4" s="154">
        <f>'P&amp;L Proj'!S2</f>
        <v>51956</v>
      </c>
      <c r="T4" s="154">
        <f>'P&amp;L Proj'!T2</f>
        <v>52321</v>
      </c>
      <c r="U4" s="154">
        <f>'P&amp;L Proj'!U2</f>
        <v>52687</v>
      </c>
      <c r="V4" s="154">
        <f>'P&amp;L Proj'!V2</f>
        <v>53052</v>
      </c>
      <c r="W4" s="154">
        <f>'P&amp;L Proj'!W2</f>
        <v>53417</v>
      </c>
      <c r="X4" s="154">
        <f>'P&amp;L Proj'!X2</f>
        <v>53782</v>
      </c>
      <c r="Y4" s="154">
        <f>'P&amp;L Proj'!Y2</f>
        <v>54148</v>
      </c>
      <c r="Z4" s="154">
        <f>'P&amp;L Proj'!Z2</f>
        <v>54513</v>
      </c>
      <c r="AA4" s="154">
        <f>'P&amp;L Proj'!AA2</f>
        <v>54878</v>
      </c>
    </row>
    <row r="5" spans="1:27">
      <c r="A5" s="151"/>
      <c r="B5" s="155" t="s">
        <v>171</v>
      </c>
      <c r="C5" s="156">
        <f>'Project Cost'!C11</f>
        <v>26.797025799610083</v>
      </c>
      <c r="D5" s="156">
        <f t="shared" ref="D5:AA5" si="0">C5</f>
        <v>26.797025799610083</v>
      </c>
      <c r="E5" s="156">
        <f t="shared" si="0"/>
        <v>26.797025799610083</v>
      </c>
      <c r="F5" s="156">
        <f t="shared" si="0"/>
        <v>26.797025799610083</v>
      </c>
      <c r="G5" s="156">
        <f t="shared" si="0"/>
        <v>26.797025799610083</v>
      </c>
      <c r="H5" s="156">
        <f t="shared" si="0"/>
        <v>26.797025799610083</v>
      </c>
      <c r="I5" s="156">
        <f t="shared" si="0"/>
        <v>26.797025799610083</v>
      </c>
      <c r="J5" s="156">
        <f t="shared" si="0"/>
        <v>26.797025799610083</v>
      </c>
      <c r="K5" s="156">
        <f t="shared" si="0"/>
        <v>26.797025799610083</v>
      </c>
      <c r="L5" s="156">
        <f t="shared" si="0"/>
        <v>26.797025799610083</v>
      </c>
      <c r="M5" s="156">
        <f t="shared" si="0"/>
        <v>26.797025799610083</v>
      </c>
      <c r="N5" s="156">
        <f t="shared" si="0"/>
        <v>26.797025799610083</v>
      </c>
      <c r="O5" s="156">
        <f t="shared" si="0"/>
        <v>26.797025799610083</v>
      </c>
      <c r="P5" s="156">
        <f t="shared" si="0"/>
        <v>26.797025799610083</v>
      </c>
      <c r="Q5" s="156">
        <f t="shared" si="0"/>
        <v>26.797025799610083</v>
      </c>
      <c r="R5" s="157">
        <f t="shared" si="0"/>
        <v>26.797025799610083</v>
      </c>
      <c r="S5" s="156">
        <f t="shared" si="0"/>
        <v>26.797025799610083</v>
      </c>
      <c r="T5" s="156">
        <f t="shared" si="0"/>
        <v>26.797025799610083</v>
      </c>
      <c r="U5" s="156">
        <f t="shared" si="0"/>
        <v>26.797025799610083</v>
      </c>
      <c r="V5" s="156">
        <f t="shared" si="0"/>
        <v>26.797025799610083</v>
      </c>
      <c r="W5" s="156">
        <f t="shared" si="0"/>
        <v>26.797025799610083</v>
      </c>
      <c r="X5" s="156">
        <f t="shared" si="0"/>
        <v>26.797025799610083</v>
      </c>
      <c r="Y5" s="156">
        <f t="shared" si="0"/>
        <v>26.797025799610083</v>
      </c>
      <c r="Z5" s="156">
        <f t="shared" si="0"/>
        <v>26.797025799610083</v>
      </c>
      <c r="AA5" s="156">
        <f t="shared" si="0"/>
        <v>26.797025799610083</v>
      </c>
    </row>
    <row r="6" spans="1:27">
      <c r="A6" s="151"/>
      <c r="B6" s="155" t="s">
        <v>172</v>
      </c>
      <c r="C6" s="158">
        <f>'P&amp;L Proj'!C38</f>
        <v>3.2045637701659575</v>
      </c>
      <c r="D6" s="158">
        <f>C6+'P&amp;L Proj'!D38</f>
        <v>6.5685715744830055</v>
      </c>
      <c r="E6" s="158">
        <f>D6+'P&amp;L Proj'!E38</f>
        <v>10.150323377260406</v>
      </c>
      <c r="F6" s="158">
        <f>E6+'P&amp;L Proj'!F38</f>
        <v>13.949898067239584</v>
      </c>
      <c r="G6" s="158">
        <f>F6+'P&amp;L Proj'!G38</f>
        <v>17.967321771555611</v>
      </c>
      <c r="H6" s="158">
        <f>G6+'P&amp;L Proj'!H38</f>
        <v>22.20256682417169</v>
      </c>
      <c r="I6" s="158">
        <f>H6+'P&amp;L Proj'!I38</f>
        <v>26.655550697853855</v>
      </c>
      <c r="J6" s="158">
        <f>I6+'P&amp;L Proj'!J38</f>
        <v>31.326134898647236</v>
      </c>
      <c r="K6" s="158">
        <f>J6+'P&amp;L Proj'!K38</f>
        <v>36.21412382178346</v>
      </c>
      <c r="L6" s="158">
        <f>K6+'P&amp;L Proj'!L38</f>
        <v>41.319263567916181</v>
      </c>
      <c r="M6" s="158">
        <f>L6+'P&amp;L Proj'!M38</f>
        <v>46.641240718548119</v>
      </c>
      <c r="N6" s="158">
        <f>M6+'P&amp;L Proj'!N38</f>
        <v>52.179681069478221</v>
      </c>
      <c r="O6" s="158">
        <f>N6+'P&amp;L Proj'!O38</f>
        <v>57.934148321062018</v>
      </c>
      <c r="P6" s="158">
        <f>O6+'P&amp;L Proj'!P38</f>
        <v>63.904142724041535</v>
      </c>
      <c r="Q6" s="158">
        <f>P6+'P&amp;L Proj'!Q38</f>
        <v>70.089099679663093</v>
      </c>
      <c r="R6" s="158">
        <f>Q6+'P&amp;L Proj'!R38</f>
        <v>76.305570461098142</v>
      </c>
      <c r="S6" s="158">
        <f>R6+'P&amp;L Proj'!S38</f>
        <v>82.336798944042783</v>
      </c>
      <c r="T6" s="158">
        <f>S6+'P&amp;L Proj'!T38</f>
        <v>88.182017104793601</v>
      </c>
      <c r="U6" s="158">
        <f>T6+'P&amp;L Proj'!U38</f>
        <v>93.840385986483597</v>
      </c>
      <c r="V6" s="158">
        <f>U6+'P&amp;L Proj'!V38</f>
        <v>99.310994050011772</v>
      </c>
      <c r="W6" s="158">
        <f>V6+'P&amp;L Proj'!W38</f>
        <v>104.59285547071137</v>
      </c>
      <c r="X6" s="158">
        <f>W6+'P&amp;L Proj'!X38</f>
        <v>109.68490837917687</v>
      </c>
      <c r="Y6" s="158">
        <f>X6+'P&amp;L Proj'!Y38</f>
        <v>114.58601304462178</v>
      </c>
      <c r="Z6" s="158">
        <f>Y6+'P&amp;L Proj'!Z38</f>
        <v>119.29494999909022</v>
      </c>
      <c r="AA6" s="158">
        <f>Z6+'P&amp;L Proj'!AA38</f>
        <v>123.81041810079427</v>
      </c>
    </row>
    <row r="7" spans="1:27">
      <c r="A7" s="151"/>
      <c r="B7" s="155" t="s">
        <v>173</v>
      </c>
      <c r="C7" s="158">
        <f>'P&amp;L Proj'!C43</f>
        <v>2.1560825356008109</v>
      </c>
      <c r="D7" s="158">
        <f>'P&amp;L Proj'!D43</f>
        <v>4.3121650712016208</v>
      </c>
      <c r="E7" s="158">
        <f>'P&amp;L Proj'!E43</f>
        <v>4.3121650712016208</v>
      </c>
      <c r="F7" s="158">
        <f>'P&amp;L Proj'!F43</f>
        <v>4.3121650712016208</v>
      </c>
      <c r="G7" s="158">
        <f>'P&amp;L Proj'!G43</f>
        <v>4.3121650712016208</v>
      </c>
      <c r="H7" s="158">
        <f>'P&amp;L Proj'!H43</f>
        <v>4.3121650712016208</v>
      </c>
      <c r="I7" s="158">
        <f>'P&amp;L Proj'!I43</f>
        <v>4.3121650712016208</v>
      </c>
      <c r="J7" s="158">
        <f>'P&amp;L Proj'!J43</f>
        <v>4.3121650712016208</v>
      </c>
      <c r="K7" s="158">
        <f>'P&amp;L Proj'!K43</f>
        <v>4.3121650712016208</v>
      </c>
      <c r="L7" s="158">
        <f>'P&amp;L Proj'!L43</f>
        <v>4.3121650712016208</v>
      </c>
      <c r="M7" s="158">
        <f>'P&amp;L Proj'!M43</f>
        <v>4.3121650712016208</v>
      </c>
      <c r="N7" s="158">
        <f>'P&amp;L Proj'!N43</f>
        <v>4.3121650712016208</v>
      </c>
      <c r="O7" s="158">
        <f>'P&amp;L Proj'!O43</f>
        <v>4.3121650712016208</v>
      </c>
      <c r="P7" s="158">
        <f>'P&amp;L Proj'!P43</f>
        <v>4.3121650712016208</v>
      </c>
      <c r="Q7" s="158">
        <f>'P&amp;L Proj'!Q43</f>
        <v>4.3121650712016208</v>
      </c>
      <c r="R7" s="158">
        <f>'P&amp;L Proj'!R43</f>
        <v>0</v>
      </c>
      <c r="S7" s="158">
        <f>'P&amp;L Proj'!S43</f>
        <v>0</v>
      </c>
      <c r="T7" s="158">
        <v>0</v>
      </c>
      <c r="U7" s="158">
        <v>0</v>
      </c>
      <c r="V7" s="158">
        <v>0</v>
      </c>
      <c r="W7" s="158">
        <v>0</v>
      </c>
      <c r="X7" s="158">
        <v>0</v>
      </c>
      <c r="Y7" s="158">
        <v>0</v>
      </c>
      <c r="Z7" s="158">
        <v>0</v>
      </c>
      <c r="AA7" s="158">
        <v>0</v>
      </c>
    </row>
    <row r="8" spans="1:27">
      <c r="A8" s="151"/>
      <c r="B8" s="155" t="s">
        <v>174</v>
      </c>
      <c r="C8" s="156">
        <f>'P&amp;L Proj'!C42</f>
        <v>60.370310996822681</v>
      </c>
      <c r="D8" s="156">
        <f>'P&amp;L Proj'!D42</f>
        <v>56.05814592562102</v>
      </c>
      <c r="E8" s="156">
        <f>'P&amp;L Proj'!E42</f>
        <v>51.745980854419358</v>
      </c>
      <c r="F8" s="156">
        <f>'P&amp;L Proj'!F42</f>
        <v>47.433815783217696</v>
      </c>
      <c r="G8" s="156">
        <f>'P&amp;L Proj'!G42</f>
        <v>43.121650712016034</v>
      </c>
      <c r="H8" s="156">
        <f>'P&amp;L Proj'!H42</f>
        <v>38.809485640814373</v>
      </c>
      <c r="I8" s="156">
        <f>'P&amp;L Proj'!I42</f>
        <v>34.497320569612711</v>
      </c>
      <c r="J8" s="156">
        <f>'P&amp;L Proj'!J42</f>
        <v>30.185155498411071</v>
      </c>
      <c r="K8" s="156">
        <f>'P&amp;L Proj'!K42</f>
        <v>25.872990427209452</v>
      </c>
      <c r="L8" s="156">
        <f>'P&amp;L Proj'!L42</f>
        <v>21.560825356007832</v>
      </c>
      <c r="M8" s="156">
        <f>'P&amp;L Proj'!M42</f>
        <v>17.248660284806213</v>
      </c>
      <c r="N8" s="156">
        <f>'P&amp;L Proj'!N42</f>
        <v>12.936495213604594</v>
      </c>
      <c r="O8" s="156">
        <f>'P&amp;L Proj'!O42</f>
        <v>8.6243301424029752</v>
      </c>
      <c r="P8" s="156">
        <f>'P&amp;L Proj'!P42</f>
        <v>4.3121650712013562</v>
      </c>
      <c r="Q8" s="156">
        <f>'P&amp;L Proj'!Q42</f>
        <v>-2.6423307986078726E-13</v>
      </c>
      <c r="R8" s="156">
        <f>'P&amp;L Proj'!R42</f>
        <v>0</v>
      </c>
      <c r="S8" s="156">
        <f>'P&amp;L Proj'!S42</f>
        <v>0</v>
      </c>
      <c r="T8" s="156">
        <v>0</v>
      </c>
      <c r="U8" s="156">
        <v>0</v>
      </c>
      <c r="V8" s="156">
        <v>0</v>
      </c>
      <c r="W8" s="156">
        <v>0</v>
      </c>
      <c r="X8" s="156">
        <v>0</v>
      </c>
      <c r="Y8" s="156">
        <v>0</v>
      </c>
      <c r="Z8" s="156">
        <v>0</v>
      </c>
      <c r="AA8" s="156">
        <v>0</v>
      </c>
    </row>
    <row r="9" spans="1:27">
      <c r="A9" s="151"/>
      <c r="B9" s="155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159"/>
      <c r="S9" s="90"/>
      <c r="T9" s="90"/>
      <c r="U9" s="90"/>
      <c r="V9" s="90"/>
      <c r="W9" s="90"/>
      <c r="X9" s="90"/>
      <c r="Y9" s="90"/>
      <c r="Z9" s="90"/>
      <c r="AA9" s="90"/>
    </row>
    <row r="10" spans="1:27">
      <c r="A10" s="151"/>
      <c r="B10" s="153" t="s">
        <v>175</v>
      </c>
      <c r="C10" s="160">
        <f t="shared" ref="C10:AA10" si="1">SUM(C5:C8)</f>
        <v>92.527983102199528</v>
      </c>
      <c r="D10" s="160">
        <f t="shared" si="1"/>
        <v>93.735908370915723</v>
      </c>
      <c r="E10" s="160">
        <f t="shared" si="1"/>
        <v>93.005495102491466</v>
      </c>
      <c r="F10" s="160">
        <f t="shared" si="1"/>
        <v>92.492904721268985</v>
      </c>
      <c r="G10" s="160">
        <f t="shared" si="1"/>
        <v>92.198163354383354</v>
      </c>
      <c r="H10" s="160">
        <f t="shared" si="1"/>
        <v>92.121243335797772</v>
      </c>
      <c r="I10" s="160">
        <f t="shared" si="1"/>
        <v>92.262062138278267</v>
      </c>
      <c r="J10" s="160">
        <f t="shared" si="1"/>
        <v>92.620481267870019</v>
      </c>
      <c r="K10" s="160">
        <f t="shared" si="1"/>
        <v>93.196305119804606</v>
      </c>
      <c r="L10" s="160">
        <f t="shared" si="1"/>
        <v>93.989279794735722</v>
      </c>
      <c r="M10" s="160">
        <f t="shared" si="1"/>
        <v>94.999091874166027</v>
      </c>
      <c r="N10" s="160">
        <f t="shared" si="1"/>
        <v>96.225367153894524</v>
      </c>
      <c r="O10" s="160">
        <f t="shared" si="1"/>
        <v>97.667669334276695</v>
      </c>
      <c r="P10" s="160">
        <f t="shared" si="1"/>
        <v>99.325498666054585</v>
      </c>
      <c r="Q10" s="160">
        <f t="shared" si="1"/>
        <v>101.19829055047452</v>
      </c>
      <c r="R10" s="161">
        <f t="shared" si="1"/>
        <v>103.10259626070822</v>
      </c>
      <c r="S10" s="160">
        <f t="shared" si="1"/>
        <v>109.13382474365287</v>
      </c>
      <c r="T10" s="160">
        <f t="shared" si="1"/>
        <v>114.97904290440368</v>
      </c>
      <c r="U10" s="160">
        <f t="shared" si="1"/>
        <v>120.63741178609368</v>
      </c>
      <c r="V10" s="160">
        <f t="shared" si="1"/>
        <v>126.10801984962185</v>
      </c>
      <c r="W10" s="160">
        <f t="shared" si="1"/>
        <v>131.38988127032144</v>
      </c>
      <c r="X10" s="160">
        <f t="shared" si="1"/>
        <v>136.48193417878696</v>
      </c>
      <c r="Y10" s="160">
        <f t="shared" si="1"/>
        <v>141.38303884423186</v>
      </c>
      <c r="Z10" s="160">
        <f t="shared" si="1"/>
        <v>146.0919757987003</v>
      </c>
      <c r="AA10" s="160">
        <f t="shared" si="1"/>
        <v>150.60744390040435</v>
      </c>
    </row>
    <row r="11" spans="1:27">
      <c r="A11" s="151"/>
      <c r="B11" s="155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3"/>
      <c r="S11" s="162"/>
      <c r="T11" s="162"/>
      <c r="U11" s="162"/>
      <c r="V11" s="162"/>
      <c r="W11" s="162"/>
      <c r="X11" s="162"/>
      <c r="Y11" s="162"/>
      <c r="Z11" s="162"/>
      <c r="AA11" s="162"/>
    </row>
    <row r="12" spans="1:27">
      <c r="A12" s="151"/>
      <c r="B12" s="164" t="s">
        <v>176</v>
      </c>
      <c r="C12" s="158">
        <f>'Project Cost'!H7</f>
        <v>89.323419332033595</v>
      </c>
      <c r="D12" s="158">
        <f t="shared" ref="D12:AA12" si="2">C12</f>
        <v>89.323419332033595</v>
      </c>
      <c r="E12" s="158">
        <f t="shared" si="2"/>
        <v>89.323419332033595</v>
      </c>
      <c r="F12" s="158">
        <f t="shared" si="2"/>
        <v>89.323419332033595</v>
      </c>
      <c r="G12" s="158">
        <f t="shared" si="2"/>
        <v>89.323419332033595</v>
      </c>
      <c r="H12" s="158">
        <f t="shared" si="2"/>
        <v>89.323419332033595</v>
      </c>
      <c r="I12" s="158">
        <f t="shared" si="2"/>
        <v>89.323419332033595</v>
      </c>
      <c r="J12" s="158">
        <f t="shared" si="2"/>
        <v>89.323419332033595</v>
      </c>
      <c r="K12" s="158">
        <f t="shared" si="2"/>
        <v>89.323419332033595</v>
      </c>
      <c r="L12" s="158">
        <f t="shared" si="2"/>
        <v>89.323419332033595</v>
      </c>
      <c r="M12" s="158">
        <f t="shared" si="2"/>
        <v>89.323419332033595</v>
      </c>
      <c r="N12" s="158">
        <f t="shared" si="2"/>
        <v>89.323419332033595</v>
      </c>
      <c r="O12" s="158">
        <f t="shared" si="2"/>
        <v>89.323419332033595</v>
      </c>
      <c r="P12" s="158">
        <f t="shared" si="2"/>
        <v>89.323419332033595</v>
      </c>
      <c r="Q12" s="158">
        <f t="shared" si="2"/>
        <v>89.323419332033595</v>
      </c>
      <c r="R12" s="165">
        <f t="shared" si="2"/>
        <v>89.323419332033595</v>
      </c>
      <c r="S12" s="158">
        <f t="shared" si="2"/>
        <v>89.323419332033595</v>
      </c>
      <c r="T12" s="158">
        <f t="shared" si="2"/>
        <v>89.323419332033595</v>
      </c>
      <c r="U12" s="158">
        <f t="shared" si="2"/>
        <v>89.323419332033595</v>
      </c>
      <c r="V12" s="158">
        <f t="shared" si="2"/>
        <v>89.323419332033595</v>
      </c>
      <c r="W12" s="158">
        <f t="shared" si="2"/>
        <v>89.323419332033595</v>
      </c>
      <c r="X12" s="158">
        <f t="shared" si="2"/>
        <v>89.323419332033595</v>
      </c>
      <c r="Y12" s="158">
        <f t="shared" si="2"/>
        <v>89.323419332033595</v>
      </c>
      <c r="Z12" s="158">
        <f t="shared" si="2"/>
        <v>89.323419332033595</v>
      </c>
      <c r="AA12" s="158">
        <f t="shared" si="2"/>
        <v>89.323419332033595</v>
      </c>
    </row>
    <row r="13" spans="1:27">
      <c r="A13" s="151"/>
      <c r="B13" s="164" t="s">
        <v>177</v>
      </c>
      <c r="C13" s="158">
        <f>'P&amp;L Proj'!C32</f>
        <v>3.5729367732813437</v>
      </c>
      <c r="D13" s="158">
        <f>C13+'P&amp;L Proj'!D32</f>
        <v>7.1458735465626875</v>
      </c>
      <c r="E13" s="158">
        <f>D13+'P&amp;L Proj'!E32</f>
        <v>10.718810319844032</v>
      </c>
      <c r="F13" s="158">
        <f>E13+'P&amp;L Proj'!F32</f>
        <v>14.291747093125375</v>
      </c>
      <c r="G13" s="158">
        <f>F13+'P&amp;L Proj'!G32</f>
        <v>17.864683866406718</v>
      </c>
      <c r="H13" s="158">
        <f>G13+'P&amp;L Proj'!H32</f>
        <v>21.437620639688063</v>
      </c>
      <c r="I13" s="158">
        <f>H13+'P&amp;L Proj'!I32</f>
        <v>25.010557412969408</v>
      </c>
      <c r="J13" s="158">
        <f>I13+'P&amp;L Proj'!J32</f>
        <v>28.583494186250753</v>
      </c>
      <c r="K13" s="158">
        <f>J13+'P&amp;L Proj'!K32</f>
        <v>32.156430959532095</v>
      </c>
      <c r="L13" s="158">
        <f>K13+'P&amp;L Proj'!L32</f>
        <v>35.729367732813436</v>
      </c>
      <c r="M13" s="158">
        <f>L13+'P&amp;L Proj'!M32</f>
        <v>39.302304506094778</v>
      </c>
      <c r="N13" s="158">
        <f>M13+'P&amp;L Proj'!N32</f>
        <v>42.87524127937612</v>
      </c>
      <c r="O13" s="158">
        <f>N13+'P&amp;L Proj'!O32</f>
        <v>46.448178052657461</v>
      </c>
      <c r="P13" s="158">
        <f>O13+'P&amp;L Proj'!P32</f>
        <v>50.021114825938803</v>
      </c>
      <c r="Q13" s="158">
        <f>P13+'P&amp;L Proj'!Q32</f>
        <v>53.594051599220144</v>
      </c>
      <c r="R13" s="158">
        <f>Q13+'P&amp;L Proj'!R32</f>
        <v>57.166988372501486</v>
      </c>
      <c r="S13" s="158">
        <f>R13+'P&amp;L Proj'!S32</f>
        <v>60.739925145782827</v>
      </c>
      <c r="T13" s="158">
        <f>S13+'P&amp;L Proj'!T32</f>
        <v>64.312861919064176</v>
      </c>
      <c r="U13" s="158">
        <f>T13+'P&amp;L Proj'!U32</f>
        <v>67.885798692345517</v>
      </c>
      <c r="V13" s="158">
        <f>U13+'P&amp;L Proj'!V32</f>
        <v>71.458735465626859</v>
      </c>
      <c r="W13" s="158">
        <f>V13+'P&amp;L Proj'!W32</f>
        <v>75.0316722389082</v>
      </c>
      <c r="X13" s="158">
        <f>W13+'P&amp;L Proj'!X32</f>
        <v>78.604609012189542</v>
      </c>
      <c r="Y13" s="158">
        <f>X13+'P&amp;L Proj'!Y32</f>
        <v>82.177545785470883</v>
      </c>
      <c r="Z13" s="158">
        <f>Y13+'P&amp;L Proj'!Z32</f>
        <v>85.750482558752225</v>
      </c>
      <c r="AA13" s="158">
        <f>Z13+'P&amp;L Proj'!AA32</f>
        <v>89.323419332033566</v>
      </c>
    </row>
    <row r="14" spans="1:27">
      <c r="A14" s="151"/>
      <c r="B14" s="164" t="s">
        <v>178</v>
      </c>
      <c r="C14" s="158">
        <f t="shared" ref="C14:AA14" si="3">C12-C13</f>
        <v>85.750482558752253</v>
      </c>
      <c r="D14" s="158">
        <f t="shared" si="3"/>
        <v>82.177545785470912</v>
      </c>
      <c r="E14" s="158">
        <f t="shared" si="3"/>
        <v>78.60460901218957</v>
      </c>
      <c r="F14" s="158">
        <f t="shared" si="3"/>
        <v>75.031672238908214</v>
      </c>
      <c r="G14" s="158">
        <f t="shared" si="3"/>
        <v>71.458735465626873</v>
      </c>
      <c r="H14" s="158">
        <f t="shared" si="3"/>
        <v>67.885798692345531</v>
      </c>
      <c r="I14" s="158">
        <f t="shared" si="3"/>
        <v>64.31286191906419</v>
      </c>
      <c r="J14" s="158">
        <f t="shared" si="3"/>
        <v>60.739925145782841</v>
      </c>
      <c r="K14" s="158">
        <f t="shared" si="3"/>
        <v>57.1669883725015</v>
      </c>
      <c r="L14" s="158">
        <f t="shared" si="3"/>
        <v>53.594051599220158</v>
      </c>
      <c r="M14" s="158">
        <f t="shared" si="3"/>
        <v>50.021114825938817</v>
      </c>
      <c r="N14" s="158">
        <f t="shared" si="3"/>
        <v>46.448178052657475</v>
      </c>
      <c r="O14" s="158">
        <f t="shared" si="3"/>
        <v>42.875241279376134</v>
      </c>
      <c r="P14" s="158">
        <f t="shared" si="3"/>
        <v>39.302304506094792</v>
      </c>
      <c r="Q14" s="158">
        <f t="shared" si="3"/>
        <v>35.729367732813451</v>
      </c>
      <c r="R14" s="166">
        <f t="shared" si="3"/>
        <v>32.156430959532109</v>
      </c>
      <c r="S14" s="166">
        <f t="shared" si="3"/>
        <v>28.583494186250768</v>
      </c>
      <c r="T14" s="166">
        <f t="shared" si="3"/>
        <v>25.010557412969419</v>
      </c>
      <c r="U14" s="166">
        <f t="shared" si="3"/>
        <v>21.437620639688078</v>
      </c>
      <c r="V14" s="166">
        <f t="shared" si="3"/>
        <v>17.864683866406736</v>
      </c>
      <c r="W14" s="166">
        <f t="shared" si="3"/>
        <v>14.291747093125394</v>
      </c>
      <c r="X14" s="166">
        <f t="shared" si="3"/>
        <v>10.718810319844053</v>
      </c>
      <c r="Y14" s="166">
        <f t="shared" si="3"/>
        <v>7.1458735465627115</v>
      </c>
      <c r="Z14" s="166">
        <f t="shared" si="3"/>
        <v>3.5729367732813699</v>
      </c>
      <c r="AA14" s="166">
        <f t="shared" si="3"/>
        <v>0</v>
      </c>
    </row>
    <row r="15" spans="1:27">
      <c r="A15" s="151"/>
      <c r="B15" s="90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8"/>
      <c r="S15" s="167"/>
      <c r="T15" s="167"/>
      <c r="U15" s="167"/>
      <c r="V15" s="167"/>
      <c r="W15" s="167"/>
      <c r="X15" s="167"/>
      <c r="Y15" s="167"/>
      <c r="Z15" s="169"/>
      <c r="AA15" s="169"/>
    </row>
    <row r="16" spans="1:27">
      <c r="A16" s="151"/>
      <c r="B16" s="155" t="s">
        <v>179</v>
      </c>
      <c r="C16" s="156">
        <f t="shared" ref="C16:AA16" si="4">C10-C14-C18</f>
        <v>6.2053931482417948</v>
      </c>
      <c r="D16" s="156">
        <f t="shared" si="4"/>
        <v>10.991976264191386</v>
      </c>
      <c r="E16" s="156">
        <f t="shared" si="4"/>
        <v>13.840163632261005</v>
      </c>
      <c r="F16" s="156">
        <f t="shared" si="4"/>
        <v>16.906117248900291</v>
      </c>
      <c r="G16" s="156">
        <f t="shared" si="4"/>
        <v>20.189863807630605</v>
      </c>
      <c r="H16" s="156">
        <f t="shared" si="4"/>
        <v>23.691376203137622</v>
      </c>
      <c r="I16" s="156">
        <f t="shared" si="4"/>
        <v>27.410572463302607</v>
      </c>
      <c r="J16" s="156">
        <f t="shared" si="4"/>
        <v>31.347314643734823</v>
      </c>
      <c r="K16" s="156">
        <f t="shared" si="4"/>
        <v>35.501407683734271</v>
      </c>
      <c r="L16" s="156">
        <f t="shared" si="4"/>
        <v>39.872598222582418</v>
      </c>
      <c r="M16" s="156">
        <f t="shared" si="4"/>
        <v>44.460573375023394</v>
      </c>
      <c r="N16" s="156">
        <f t="shared" si="4"/>
        <v>49.264959464765276</v>
      </c>
      <c r="O16" s="156">
        <f t="shared" si="4"/>
        <v>54.285320714793507</v>
      </c>
      <c r="P16" s="156">
        <f t="shared" si="4"/>
        <v>59.521157893253807</v>
      </c>
      <c r="Q16" s="156">
        <f t="shared" si="4"/>
        <v>64.971906913622149</v>
      </c>
      <c r="R16" s="157">
        <f t="shared" si="4"/>
        <v>70.454119556177574</v>
      </c>
      <c r="S16" s="156">
        <f t="shared" si="4"/>
        <v>80.063205269853555</v>
      </c>
      <c r="T16" s="156">
        <f t="shared" si="4"/>
        <v>89.486231456761203</v>
      </c>
      <c r="U16" s="156">
        <f t="shared" si="4"/>
        <v>98.722359652079263</v>
      </c>
      <c r="V16" s="156">
        <f t="shared" si="4"/>
        <v>107.77067880383204</v>
      </c>
      <c r="W16" s="156">
        <f t="shared" si="4"/>
        <v>116.63020356960681</v>
      </c>
      <c r="X16" s="156">
        <f t="shared" si="4"/>
        <v>125.29987255742955</v>
      </c>
      <c r="Y16" s="156">
        <f t="shared" si="4"/>
        <v>133.77854650917092</v>
      </c>
      <c r="Z16" s="156">
        <f t="shared" si="4"/>
        <v>142.06500642480569</v>
      </c>
      <c r="AA16" s="156">
        <f t="shared" si="4"/>
        <v>150.15795162579724</v>
      </c>
    </row>
    <row r="17" spans="1:27">
      <c r="A17" s="151"/>
      <c r="B17" s="155" t="s">
        <v>180</v>
      </c>
      <c r="C17" s="156">
        <v>0</v>
      </c>
      <c r="D17" s="156">
        <f t="shared" ref="D17:AA17" si="5">C17</f>
        <v>0</v>
      </c>
      <c r="E17" s="156">
        <f t="shared" si="5"/>
        <v>0</v>
      </c>
      <c r="F17" s="156">
        <f t="shared" si="5"/>
        <v>0</v>
      </c>
      <c r="G17" s="156">
        <f t="shared" si="5"/>
        <v>0</v>
      </c>
      <c r="H17" s="156">
        <f t="shared" si="5"/>
        <v>0</v>
      </c>
      <c r="I17" s="156">
        <f t="shared" si="5"/>
        <v>0</v>
      </c>
      <c r="J17" s="156">
        <f t="shared" si="5"/>
        <v>0</v>
      </c>
      <c r="K17" s="156">
        <f t="shared" si="5"/>
        <v>0</v>
      </c>
      <c r="L17" s="156">
        <f t="shared" si="5"/>
        <v>0</v>
      </c>
      <c r="M17" s="156">
        <f t="shared" si="5"/>
        <v>0</v>
      </c>
      <c r="N17" s="156">
        <f t="shared" si="5"/>
        <v>0</v>
      </c>
      <c r="O17" s="156">
        <f t="shared" si="5"/>
        <v>0</v>
      </c>
      <c r="P17" s="156">
        <f t="shared" si="5"/>
        <v>0</v>
      </c>
      <c r="Q17" s="156">
        <f t="shared" si="5"/>
        <v>0</v>
      </c>
      <c r="R17" s="157">
        <f t="shared" si="5"/>
        <v>0</v>
      </c>
      <c r="S17" s="156">
        <f t="shared" si="5"/>
        <v>0</v>
      </c>
      <c r="T17" s="156">
        <f t="shared" si="5"/>
        <v>0</v>
      </c>
      <c r="U17" s="156">
        <f t="shared" si="5"/>
        <v>0</v>
      </c>
      <c r="V17" s="156">
        <f t="shared" si="5"/>
        <v>0</v>
      </c>
      <c r="W17" s="156">
        <f t="shared" si="5"/>
        <v>0</v>
      </c>
      <c r="X17" s="156">
        <f t="shared" si="5"/>
        <v>0</v>
      </c>
      <c r="Y17" s="156">
        <f t="shared" si="5"/>
        <v>0</v>
      </c>
      <c r="Z17" s="156">
        <f t="shared" si="5"/>
        <v>0</v>
      </c>
      <c r="AA17" s="156">
        <f t="shared" si="5"/>
        <v>0</v>
      </c>
    </row>
    <row r="18" spans="1:27">
      <c r="A18" s="151"/>
      <c r="B18" s="155" t="s">
        <v>181</v>
      </c>
      <c r="C18" s="156">
        <f>15/365*'P&amp;L Proj'!C22</f>
        <v>0.57210739520547949</v>
      </c>
      <c r="D18" s="156">
        <f>15/365*'P&amp;L Proj'!D22</f>
        <v>0.56638632125342481</v>
      </c>
      <c r="E18" s="156">
        <f>15/365*'P&amp;L Proj'!E22</f>
        <v>0.56072245804089038</v>
      </c>
      <c r="F18" s="156">
        <f>15/365*'P&amp;L Proj'!F22</f>
        <v>0.55511523346048142</v>
      </c>
      <c r="G18" s="156">
        <f>15/365*'P&amp;L Proj'!G22</f>
        <v>0.54956408112587674</v>
      </c>
      <c r="H18" s="156">
        <f>15/365*'P&amp;L Proj'!H22</f>
        <v>0.54406844031461798</v>
      </c>
      <c r="I18" s="156">
        <f>15/365*'P&amp;L Proj'!I22</f>
        <v>0.53862775591147172</v>
      </c>
      <c r="J18" s="156">
        <f>15/365*'P&amp;L Proj'!J22</f>
        <v>0.53324147835235691</v>
      </c>
      <c r="K18" s="156">
        <f>15/365*'P&amp;L Proj'!K22</f>
        <v>0.52790906356883338</v>
      </c>
      <c r="L18" s="156">
        <f>15/365*'P&amp;L Proj'!L22</f>
        <v>0.52262997293314506</v>
      </c>
      <c r="M18" s="156">
        <f>15/365*'P&amp;L Proj'!M22</f>
        <v>0.51740367320381353</v>
      </c>
      <c r="N18" s="156">
        <f>15/365*'P&amp;L Proj'!N22</f>
        <v>0.51222963647177555</v>
      </c>
      <c r="O18" s="156">
        <f>15/365*'P&amp;L Proj'!O22</f>
        <v>0.50710734010705771</v>
      </c>
      <c r="P18" s="156">
        <f>15/365*'P&amp;L Proj'!P22</f>
        <v>0.50203626670598722</v>
      </c>
      <c r="Q18" s="156">
        <f>15/365*'P&amp;L Proj'!Q22</f>
        <v>0.49701590403892726</v>
      </c>
      <c r="R18" s="156">
        <f>15/365*'P&amp;L Proj'!R22</f>
        <v>0.49204574499853798</v>
      </c>
      <c r="S18" s="156">
        <f>15/365*'P&amp;L Proj'!S22</f>
        <v>0.48712528754855267</v>
      </c>
      <c r="T18" s="156">
        <f>15/365*'P&amp;L Proj'!T22</f>
        <v>0.48225403467306704</v>
      </c>
      <c r="U18" s="156">
        <f>15/365*'P&amp;L Proj'!U22</f>
        <v>0.47743149432633636</v>
      </c>
      <c r="V18" s="156">
        <f>15/365*'P&amp;L Proj'!V22</f>
        <v>0.47265717938307306</v>
      </c>
      <c r="W18" s="156">
        <f>15/365*'P&amp;L Proj'!W22</f>
        <v>0.46793060758924232</v>
      </c>
      <c r="X18" s="156">
        <f>15/365*'P&amp;L Proj'!X22</f>
        <v>0.46325130151334987</v>
      </c>
      <c r="Y18" s="156">
        <f>15/365*'P&amp;L Proj'!Y22</f>
        <v>0.45861878849821636</v>
      </c>
      <c r="Z18" s="156">
        <f>15/365*'P&amp;L Proj'!Z22</f>
        <v>0.45403260061323419</v>
      </c>
      <c r="AA18" s="156">
        <f>15/365*'P&amp;L Proj'!AA22</f>
        <v>0.44949227460710189</v>
      </c>
    </row>
    <row r="19" spans="1:27">
      <c r="A19" s="151"/>
      <c r="B19" s="92" t="s">
        <v>182</v>
      </c>
      <c r="C19" s="160">
        <f t="shared" ref="C19:AA19" si="6">C16+C17+C18</f>
        <v>6.7775005434472746</v>
      </c>
      <c r="D19" s="160">
        <f t="shared" si="6"/>
        <v>11.558362585444812</v>
      </c>
      <c r="E19" s="160">
        <f t="shared" si="6"/>
        <v>14.400886090301896</v>
      </c>
      <c r="F19" s="160">
        <f t="shared" si="6"/>
        <v>17.461232482360771</v>
      </c>
      <c r="G19" s="160">
        <f t="shared" si="6"/>
        <v>20.739427888756481</v>
      </c>
      <c r="H19" s="160">
        <f t="shared" si="6"/>
        <v>24.23544464345224</v>
      </c>
      <c r="I19" s="160">
        <f t="shared" si="6"/>
        <v>27.949200219214077</v>
      </c>
      <c r="J19" s="160">
        <f t="shared" si="6"/>
        <v>31.880556122087178</v>
      </c>
      <c r="K19" s="160">
        <f t="shared" si="6"/>
        <v>36.029316747303106</v>
      </c>
      <c r="L19" s="160">
        <f t="shared" si="6"/>
        <v>40.395228195515564</v>
      </c>
      <c r="M19" s="160">
        <f t="shared" si="6"/>
        <v>44.97797704822721</v>
      </c>
      <c r="N19" s="160">
        <f t="shared" si="6"/>
        <v>49.777189101237049</v>
      </c>
      <c r="O19" s="160">
        <f t="shared" si="6"/>
        <v>54.792428054900562</v>
      </c>
      <c r="P19" s="160">
        <f t="shared" si="6"/>
        <v>60.023194159959793</v>
      </c>
      <c r="Q19" s="160">
        <f t="shared" si="6"/>
        <v>65.468922817661081</v>
      </c>
      <c r="R19" s="161">
        <f t="shared" si="6"/>
        <v>70.946165301176109</v>
      </c>
      <c r="S19" s="160">
        <f t="shared" si="6"/>
        <v>80.550330557402106</v>
      </c>
      <c r="T19" s="160">
        <f t="shared" si="6"/>
        <v>89.968485491434265</v>
      </c>
      <c r="U19" s="160">
        <f t="shared" si="6"/>
        <v>99.199791146405602</v>
      </c>
      <c r="V19" s="160">
        <f t="shared" si="6"/>
        <v>108.24333598321512</v>
      </c>
      <c r="W19" s="160">
        <f t="shared" si="6"/>
        <v>117.09813417719604</v>
      </c>
      <c r="X19" s="160">
        <f t="shared" si="6"/>
        <v>125.7631238589429</v>
      </c>
      <c r="Y19" s="160">
        <f t="shared" si="6"/>
        <v>134.23716529766915</v>
      </c>
      <c r="Z19" s="160">
        <f t="shared" si="6"/>
        <v>142.51903902541892</v>
      </c>
      <c r="AA19" s="160">
        <f t="shared" si="6"/>
        <v>150.60744390040435</v>
      </c>
    </row>
    <row r="20" spans="1:27">
      <c r="A20" s="151"/>
      <c r="B20" s="155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8"/>
      <c r="S20" s="167"/>
      <c r="T20" s="167"/>
      <c r="U20" s="167"/>
      <c r="V20" s="167"/>
      <c r="W20" s="167"/>
      <c r="X20" s="167"/>
      <c r="Y20" s="167"/>
      <c r="Z20" s="170"/>
      <c r="AA20" s="170"/>
    </row>
    <row r="21" spans="1:27">
      <c r="A21" s="151"/>
      <c r="B21" s="153" t="s">
        <v>183</v>
      </c>
      <c r="C21" s="171">
        <f t="shared" ref="C21:AA21" si="7">C19+C14</f>
        <v>92.527983102199528</v>
      </c>
      <c r="D21" s="171">
        <f t="shared" si="7"/>
        <v>93.735908370915723</v>
      </c>
      <c r="E21" s="171">
        <f t="shared" si="7"/>
        <v>93.005495102491466</v>
      </c>
      <c r="F21" s="171">
        <f t="shared" si="7"/>
        <v>92.492904721268985</v>
      </c>
      <c r="G21" s="171">
        <f t="shared" si="7"/>
        <v>92.198163354383354</v>
      </c>
      <c r="H21" s="171">
        <f t="shared" si="7"/>
        <v>92.121243335797772</v>
      </c>
      <c r="I21" s="171">
        <f t="shared" si="7"/>
        <v>92.262062138278267</v>
      </c>
      <c r="J21" s="171">
        <f t="shared" si="7"/>
        <v>92.620481267870019</v>
      </c>
      <c r="K21" s="171">
        <f t="shared" si="7"/>
        <v>93.196305119804606</v>
      </c>
      <c r="L21" s="171">
        <f t="shared" si="7"/>
        <v>93.989279794735722</v>
      </c>
      <c r="M21" s="171">
        <f t="shared" si="7"/>
        <v>94.999091874166027</v>
      </c>
      <c r="N21" s="171">
        <f t="shared" si="7"/>
        <v>96.225367153894524</v>
      </c>
      <c r="O21" s="171">
        <f t="shared" si="7"/>
        <v>97.667669334276695</v>
      </c>
      <c r="P21" s="171">
        <f t="shared" si="7"/>
        <v>99.325498666054585</v>
      </c>
      <c r="Q21" s="171">
        <f t="shared" si="7"/>
        <v>101.19829055047452</v>
      </c>
      <c r="R21" s="172">
        <f t="shared" si="7"/>
        <v>103.10259626070822</v>
      </c>
      <c r="S21" s="171">
        <f t="shared" si="7"/>
        <v>109.13382474365287</v>
      </c>
      <c r="T21" s="171">
        <f t="shared" si="7"/>
        <v>114.97904290440368</v>
      </c>
      <c r="U21" s="171">
        <f t="shared" si="7"/>
        <v>120.63741178609368</v>
      </c>
      <c r="V21" s="171">
        <f t="shared" si="7"/>
        <v>126.10801984962185</v>
      </c>
      <c r="W21" s="171">
        <f t="shared" si="7"/>
        <v>131.38988127032144</v>
      </c>
      <c r="X21" s="171">
        <f t="shared" si="7"/>
        <v>136.48193417878696</v>
      </c>
      <c r="Y21" s="171">
        <f t="shared" si="7"/>
        <v>141.38303884423186</v>
      </c>
      <c r="Z21" s="171">
        <f t="shared" si="7"/>
        <v>146.09197579870028</v>
      </c>
      <c r="AA21" s="171">
        <f t="shared" si="7"/>
        <v>150.60744390040435</v>
      </c>
    </row>
    <row r="22" spans="1:27">
      <c r="A22" s="151"/>
      <c r="B22" s="90"/>
      <c r="C22" s="167"/>
      <c r="D22" s="167"/>
      <c r="E22" s="167"/>
      <c r="F22" s="167"/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8"/>
      <c r="S22" s="167"/>
      <c r="T22" s="167"/>
      <c r="U22" s="167"/>
      <c r="V22" s="167"/>
      <c r="W22" s="167"/>
      <c r="X22" s="167"/>
      <c r="Y22" s="167"/>
      <c r="Z22" s="167"/>
      <c r="AA22" s="167"/>
    </row>
    <row r="23" spans="1:27">
      <c r="A23" s="151"/>
      <c r="B23" s="173"/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</row>
    <row r="24" spans="1:27">
      <c r="A24" s="324" t="s">
        <v>184</v>
      </c>
      <c r="B24" s="325"/>
      <c r="C24" s="325"/>
      <c r="D24" s="325"/>
      <c r="E24" s="325"/>
      <c r="F24" s="325"/>
      <c r="G24" s="325"/>
      <c r="H24" s="325"/>
      <c r="I24" s="325"/>
      <c r="J24" s="325"/>
      <c r="K24" s="325"/>
      <c r="L24" s="325"/>
      <c r="M24" s="325"/>
      <c r="N24" s="325"/>
      <c r="O24" s="325"/>
      <c r="P24" s="325"/>
      <c r="Q24" s="325"/>
      <c r="R24" s="151"/>
      <c r="S24" s="151"/>
      <c r="T24" s="151"/>
      <c r="U24" s="151"/>
      <c r="V24" s="151"/>
      <c r="W24" s="151"/>
      <c r="X24" s="151"/>
      <c r="Y24" s="151"/>
      <c r="Z24" s="151"/>
      <c r="AA24" s="151"/>
    </row>
    <row r="25" spans="1:27">
      <c r="A25" s="151"/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2" t="s">
        <v>170</v>
      </c>
      <c r="R25" s="151"/>
      <c r="S25" s="151"/>
      <c r="T25" s="151"/>
      <c r="U25" s="151"/>
      <c r="V25" s="151"/>
      <c r="W25" s="151"/>
      <c r="X25" s="151"/>
      <c r="Y25" s="151"/>
      <c r="Z25" s="151"/>
      <c r="AA25" s="151"/>
    </row>
    <row r="26" spans="1:27">
      <c r="A26" s="151"/>
      <c r="B26" s="153" t="str">
        <f t="shared" ref="B26:Q26" si="8">B4</f>
        <v>Particulars</v>
      </c>
      <c r="C26" s="154">
        <f t="shared" si="8"/>
        <v>46112</v>
      </c>
      <c r="D26" s="154">
        <f t="shared" si="8"/>
        <v>46477</v>
      </c>
      <c r="E26" s="154">
        <f t="shared" si="8"/>
        <v>46843</v>
      </c>
      <c r="F26" s="154">
        <f t="shared" si="8"/>
        <v>47208</v>
      </c>
      <c r="G26" s="154">
        <f t="shared" si="8"/>
        <v>47573</v>
      </c>
      <c r="H26" s="154">
        <f t="shared" si="8"/>
        <v>47938</v>
      </c>
      <c r="I26" s="154">
        <f t="shared" si="8"/>
        <v>48304</v>
      </c>
      <c r="J26" s="154">
        <f t="shared" si="8"/>
        <v>48669</v>
      </c>
      <c r="K26" s="154">
        <f t="shared" si="8"/>
        <v>49034</v>
      </c>
      <c r="L26" s="154">
        <f t="shared" si="8"/>
        <v>49399</v>
      </c>
      <c r="M26" s="154">
        <f t="shared" si="8"/>
        <v>49765</v>
      </c>
      <c r="N26" s="154">
        <f t="shared" si="8"/>
        <v>50130</v>
      </c>
      <c r="O26" s="154">
        <f t="shared" si="8"/>
        <v>50495</v>
      </c>
      <c r="P26" s="154">
        <f t="shared" si="8"/>
        <v>50860</v>
      </c>
      <c r="Q26" s="154">
        <f t="shared" si="8"/>
        <v>51226</v>
      </c>
      <c r="R26" s="151"/>
      <c r="S26" s="151"/>
      <c r="T26" s="151"/>
      <c r="U26" s="151"/>
      <c r="V26" s="151"/>
      <c r="W26" s="151"/>
      <c r="X26" s="151"/>
      <c r="Y26" s="151"/>
      <c r="Z26" s="151"/>
      <c r="AA26" s="151"/>
    </row>
    <row r="27" spans="1:27">
      <c r="A27" s="151"/>
      <c r="B27" s="92" t="s">
        <v>185</v>
      </c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151"/>
      <c r="S27" s="151"/>
      <c r="T27" s="151"/>
      <c r="U27" s="151"/>
      <c r="V27" s="151"/>
      <c r="W27" s="151"/>
      <c r="X27" s="151"/>
      <c r="Y27" s="151"/>
      <c r="Z27" s="151"/>
      <c r="AA27" s="151"/>
    </row>
    <row r="28" spans="1:27">
      <c r="A28" s="151"/>
      <c r="B28" s="90" t="s">
        <v>186</v>
      </c>
      <c r="C28" s="156">
        <f t="shared" ref="C28:C31" si="9">C5</f>
        <v>26.797025799610083</v>
      </c>
      <c r="D28" s="174">
        <f t="shared" ref="D28:Q28" si="10">D5-C5</f>
        <v>0</v>
      </c>
      <c r="E28" s="174">
        <f t="shared" si="10"/>
        <v>0</v>
      </c>
      <c r="F28" s="174">
        <f t="shared" si="10"/>
        <v>0</v>
      </c>
      <c r="G28" s="174">
        <f t="shared" si="10"/>
        <v>0</v>
      </c>
      <c r="H28" s="174">
        <f t="shared" si="10"/>
        <v>0</v>
      </c>
      <c r="I28" s="174">
        <f t="shared" si="10"/>
        <v>0</v>
      </c>
      <c r="J28" s="174">
        <f t="shared" si="10"/>
        <v>0</v>
      </c>
      <c r="K28" s="174">
        <f t="shared" si="10"/>
        <v>0</v>
      </c>
      <c r="L28" s="174">
        <f t="shared" si="10"/>
        <v>0</v>
      </c>
      <c r="M28" s="174">
        <f t="shared" si="10"/>
        <v>0</v>
      </c>
      <c r="N28" s="174">
        <f t="shared" si="10"/>
        <v>0</v>
      </c>
      <c r="O28" s="174">
        <f t="shared" si="10"/>
        <v>0</v>
      </c>
      <c r="P28" s="174">
        <f t="shared" si="10"/>
        <v>0</v>
      </c>
      <c r="Q28" s="174">
        <f t="shared" si="10"/>
        <v>0</v>
      </c>
      <c r="R28" s="151"/>
      <c r="S28" s="151"/>
      <c r="T28" s="151"/>
      <c r="U28" s="151"/>
      <c r="V28" s="151"/>
      <c r="W28" s="151"/>
      <c r="X28" s="151"/>
      <c r="Y28" s="151"/>
      <c r="Z28" s="151"/>
      <c r="AA28" s="151"/>
    </row>
    <row r="29" spans="1:27">
      <c r="A29" s="151"/>
      <c r="B29" s="90" t="s">
        <v>187</v>
      </c>
      <c r="C29" s="156">
        <f t="shared" si="9"/>
        <v>3.2045637701659575</v>
      </c>
      <c r="D29" s="174">
        <f t="shared" ref="D29:Q29" si="11">D6-C6</f>
        <v>3.364007804317048</v>
      </c>
      <c r="E29" s="174">
        <f t="shared" si="11"/>
        <v>3.5817518027774007</v>
      </c>
      <c r="F29" s="174">
        <f t="shared" si="11"/>
        <v>3.7995746899791776</v>
      </c>
      <c r="G29" s="174">
        <f t="shared" si="11"/>
        <v>4.0174237043160268</v>
      </c>
      <c r="H29" s="174">
        <f t="shared" si="11"/>
        <v>4.2352450526160794</v>
      </c>
      <c r="I29" s="174">
        <f t="shared" si="11"/>
        <v>4.4529838736821645</v>
      </c>
      <c r="J29" s="174">
        <f t="shared" si="11"/>
        <v>4.6705842007933818</v>
      </c>
      <c r="K29" s="174">
        <f t="shared" si="11"/>
        <v>4.8879889231362235</v>
      </c>
      <c r="L29" s="174">
        <f t="shared" si="11"/>
        <v>5.1051397461327213</v>
      </c>
      <c r="M29" s="174">
        <f t="shared" si="11"/>
        <v>5.3219771506319375</v>
      </c>
      <c r="N29" s="174">
        <f t="shared" si="11"/>
        <v>5.5384403509301023</v>
      </c>
      <c r="O29" s="174">
        <f t="shared" si="11"/>
        <v>5.7544672515837973</v>
      </c>
      <c r="P29" s="174">
        <f t="shared" si="11"/>
        <v>5.9699944029795162</v>
      </c>
      <c r="Q29" s="174">
        <f t="shared" si="11"/>
        <v>6.1849569556215584</v>
      </c>
      <c r="R29" s="151"/>
      <c r="S29" s="151"/>
      <c r="T29" s="151"/>
      <c r="U29" s="151"/>
      <c r="V29" s="151"/>
      <c r="W29" s="151"/>
      <c r="X29" s="151"/>
      <c r="Y29" s="151"/>
      <c r="Z29" s="151"/>
      <c r="AA29" s="151"/>
    </row>
    <row r="30" spans="1:27">
      <c r="A30" s="151"/>
      <c r="B30" s="90" t="s">
        <v>188</v>
      </c>
      <c r="C30" s="156">
        <f t="shared" si="9"/>
        <v>2.1560825356008109</v>
      </c>
      <c r="D30" s="174">
        <f t="shared" ref="D30:Q30" si="12">D7-C7</f>
        <v>2.15608253560081</v>
      </c>
      <c r="E30" s="174">
        <f t="shared" si="12"/>
        <v>0</v>
      </c>
      <c r="F30" s="174">
        <f t="shared" si="12"/>
        <v>0</v>
      </c>
      <c r="G30" s="174">
        <f t="shared" si="12"/>
        <v>0</v>
      </c>
      <c r="H30" s="174">
        <f t="shared" si="12"/>
        <v>0</v>
      </c>
      <c r="I30" s="174">
        <f t="shared" si="12"/>
        <v>0</v>
      </c>
      <c r="J30" s="174">
        <f t="shared" si="12"/>
        <v>0</v>
      </c>
      <c r="K30" s="174">
        <f t="shared" si="12"/>
        <v>0</v>
      </c>
      <c r="L30" s="174">
        <f t="shared" si="12"/>
        <v>0</v>
      </c>
      <c r="M30" s="174">
        <f t="shared" si="12"/>
        <v>0</v>
      </c>
      <c r="N30" s="174">
        <f t="shared" si="12"/>
        <v>0</v>
      </c>
      <c r="O30" s="174">
        <f t="shared" si="12"/>
        <v>0</v>
      </c>
      <c r="P30" s="174">
        <f t="shared" si="12"/>
        <v>0</v>
      </c>
      <c r="Q30" s="174">
        <f t="shared" si="12"/>
        <v>0</v>
      </c>
      <c r="R30" s="151"/>
      <c r="S30" s="151"/>
      <c r="T30" s="151"/>
      <c r="U30" s="151"/>
      <c r="V30" s="151"/>
      <c r="W30" s="151"/>
      <c r="X30" s="151"/>
      <c r="Y30" s="151"/>
      <c r="Z30" s="151"/>
      <c r="AA30" s="151"/>
    </row>
    <row r="31" spans="1:27">
      <c r="A31" s="151"/>
      <c r="B31" s="90" t="s">
        <v>189</v>
      </c>
      <c r="C31" s="156">
        <f t="shared" si="9"/>
        <v>60.370310996822681</v>
      </c>
      <c r="D31" s="174">
        <f t="shared" ref="D31:Q31" si="13">D8-C8</f>
        <v>-4.3121650712016617</v>
      </c>
      <c r="E31" s="174">
        <f t="shared" si="13"/>
        <v>-4.3121650712016617</v>
      </c>
      <c r="F31" s="174">
        <f t="shared" si="13"/>
        <v>-4.3121650712016617</v>
      </c>
      <c r="G31" s="174">
        <f t="shared" si="13"/>
        <v>-4.3121650712016617</v>
      </c>
      <c r="H31" s="174">
        <f t="shared" si="13"/>
        <v>-4.3121650712016617</v>
      </c>
      <c r="I31" s="174">
        <f t="shared" si="13"/>
        <v>-4.3121650712016617</v>
      </c>
      <c r="J31" s="174">
        <f t="shared" si="13"/>
        <v>-4.3121650712016404</v>
      </c>
      <c r="K31" s="174">
        <f t="shared" si="13"/>
        <v>-4.3121650712016191</v>
      </c>
      <c r="L31" s="174">
        <f t="shared" si="13"/>
        <v>-4.3121650712016191</v>
      </c>
      <c r="M31" s="174">
        <f t="shared" si="13"/>
        <v>-4.3121650712016191</v>
      </c>
      <c r="N31" s="174">
        <f t="shared" si="13"/>
        <v>-4.3121650712016191</v>
      </c>
      <c r="O31" s="174">
        <f t="shared" si="13"/>
        <v>-4.3121650712016191</v>
      </c>
      <c r="P31" s="174">
        <f t="shared" si="13"/>
        <v>-4.3121650712016191</v>
      </c>
      <c r="Q31" s="174">
        <f t="shared" si="13"/>
        <v>-4.3121650712016208</v>
      </c>
      <c r="R31" s="151"/>
      <c r="S31" s="151"/>
      <c r="T31" s="151"/>
      <c r="U31" s="151"/>
      <c r="V31" s="151"/>
      <c r="W31" s="151"/>
      <c r="X31" s="151"/>
      <c r="Y31" s="151"/>
      <c r="Z31" s="151"/>
      <c r="AA31" s="151"/>
    </row>
    <row r="32" spans="1:27">
      <c r="A32" s="151"/>
      <c r="B32" s="92" t="s">
        <v>64</v>
      </c>
      <c r="C32" s="160">
        <f t="shared" ref="C32:Q32" si="14">SUM(C28:C31)</f>
        <v>92.527983102199528</v>
      </c>
      <c r="D32" s="160">
        <f t="shared" si="14"/>
        <v>1.2079252687161963</v>
      </c>
      <c r="E32" s="160">
        <f t="shared" si="14"/>
        <v>-0.73041326842426102</v>
      </c>
      <c r="F32" s="160">
        <f t="shared" si="14"/>
        <v>-0.51259038122248413</v>
      </c>
      <c r="G32" s="160">
        <f t="shared" si="14"/>
        <v>-0.2947413668856349</v>
      </c>
      <c r="H32" s="160">
        <f t="shared" si="14"/>
        <v>-7.6920018585582284E-2</v>
      </c>
      <c r="I32" s="160">
        <f t="shared" si="14"/>
        <v>0.14081880248050282</v>
      </c>
      <c r="J32" s="160">
        <f t="shared" si="14"/>
        <v>0.35841912959174138</v>
      </c>
      <c r="K32" s="160">
        <f t="shared" si="14"/>
        <v>0.57582385193460439</v>
      </c>
      <c r="L32" s="160">
        <f t="shared" si="14"/>
        <v>0.79297467493110219</v>
      </c>
      <c r="M32" s="160">
        <f t="shared" si="14"/>
        <v>1.0098120794303185</v>
      </c>
      <c r="N32" s="160">
        <f t="shared" si="14"/>
        <v>1.2262752797284833</v>
      </c>
      <c r="O32" s="160">
        <f t="shared" si="14"/>
        <v>1.4423021803821783</v>
      </c>
      <c r="P32" s="160">
        <f t="shared" si="14"/>
        <v>1.6578293317778972</v>
      </c>
      <c r="Q32" s="160">
        <f t="shared" si="14"/>
        <v>1.8727918844199376</v>
      </c>
      <c r="R32" s="151"/>
      <c r="S32" s="151"/>
      <c r="T32" s="151"/>
      <c r="U32" s="151"/>
      <c r="V32" s="151"/>
      <c r="W32" s="151"/>
      <c r="X32" s="151"/>
      <c r="Y32" s="151"/>
      <c r="Z32" s="151"/>
      <c r="AA32" s="151"/>
    </row>
    <row r="33" spans="1:27">
      <c r="A33" s="151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151"/>
      <c r="S33" s="151"/>
      <c r="T33" s="151"/>
      <c r="U33" s="151"/>
      <c r="V33" s="151"/>
      <c r="W33" s="151"/>
      <c r="X33" s="151"/>
      <c r="Y33" s="151"/>
      <c r="Z33" s="151"/>
      <c r="AA33" s="151"/>
    </row>
    <row r="34" spans="1:27">
      <c r="A34" s="151"/>
      <c r="B34" s="92" t="s">
        <v>190</v>
      </c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151"/>
      <c r="S34" s="151"/>
      <c r="T34" s="151"/>
      <c r="U34" s="151"/>
      <c r="V34" s="151"/>
      <c r="W34" s="151"/>
      <c r="X34" s="151"/>
      <c r="Y34" s="151"/>
      <c r="Z34" s="151"/>
      <c r="AA34" s="151"/>
    </row>
    <row r="35" spans="1:27">
      <c r="A35" s="151"/>
      <c r="B35" s="90" t="s">
        <v>191</v>
      </c>
      <c r="C35" s="158">
        <f>C14</f>
        <v>85.750482558752253</v>
      </c>
      <c r="D35" s="158">
        <f t="shared" ref="D35:Q35" si="15">D14-C14</f>
        <v>-3.5729367732813415</v>
      </c>
      <c r="E35" s="158">
        <f t="shared" si="15"/>
        <v>-3.5729367732813415</v>
      </c>
      <c r="F35" s="158">
        <f t="shared" si="15"/>
        <v>-3.5729367732813557</v>
      </c>
      <c r="G35" s="158">
        <f t="shared" si="15"/>
        <v>-3.5729367732813415</v>
      </c>
      <c r="H35" s="158">
        <f t="shared" si="15"/>
        <v>-3.5729367732813415</v>
      </c>
      <c r="I35" s="158">
        <f t="shared" si="15"/>
        <v>-3.5729367732813415</v>
      </c>
      <c r="J35" s="158">
        <f t="shared" si="15"/>
        <v>-3.5729367732813486</v>
      </c>
      <c r="K35" s="158">
        <f t="shared" si="15"/>
        <v>-3.5729367732813415</v>
      </c>
      <c r="L35" s="158">
        <f t="shared" si="15"/>
        <v>-3.5729367732813415</v>
      </c>
      <c r="M35" s="158">
        <f t="shared" si="15"/>
        <v>-3.5729367732813415</v>
      </c>
      <c r="N35" s="158">
        <f t="shared" si="15"/>
        <v>-3.5729367732813415</v>
      </c>
      <c r="O35" s="158">
        <f t="shared" si="15"/>
        <v>-3.5729367732813415</v>
      </c>
      <c r="P35" s="158">
        <f t="shared" si="15"/>
        <v>-3.5729367732813415</v>
      </c>
      <c r="Q35" s="158">
        <f t="shared" si="15"/>
        <v>-3.5729367732813415</v>
      </c>
      <c r="R35" s="151"/>
      <c r="S35" s="151"/>
      <c r="T35" s="151"/>
      <c r="U35" s="151"/>
      <c r="V35" s="151"/>
      <c r="W35" s="151"/>
      <c r="X35" s="151"/>
      <c r="Y35" s="151"/>
      <c r="Z35" s="151"/>
      <c r="AA35" s="151"/>
    </row>
    <row r="36" spans="1:27">
      <c r="A36" s="151"/>
      <c r="B36" s="90" t="s">
        <v>192</v>
      </c>
      <c r="C36" s="156">
        <f t="shared" ref="C36:C37" si="16">C17</f>
        <v>0</v>
      </c>
      <c r="D36" s="158">
        <f t="shared" ref="D36:Q36" si="17">D17-C17</f>
        <v>0</v>
      </c>
      <c r="E36" s="158">
        <f t="shared" si="17"/>
        <v>0</v>
      </c>
      <c r="F36" s="158">
        <f t="shared" si="17"/>
        <v>0</v>
      </c>
      <c r="G36" s="158">
        <f t="shared" si="17"/>
        <v>0</v>
      </c>
      <c r="H36" s="158">
        <f t="shared" si="17"/>
        <v>0</v>
      </c>
      <c r="I36" s="158">
        <f t="shared" si="17"/>
        <v>0</v>
      </c>
      <c r="J36" s="158">
        <f t="shared" si="17"/>
        <v>0</v>
      </c>
      <c r="K36" s="158">
        <f t="shared" si="17"/>
        <v>0</v>
      </c>
      <c r="L36" s="158">
        <f t="shared" si="17"/>
        <v>0</v>
      </c>
      <c r="M36" s="158">
        <f t="shared" si="17"/>
        <v>0</v>
      </c>
      <c r="N36" s="158">
        <f t="shared" si="17"/>
        <v>0</v>
      </c>
      <c r="O36" s="158">
        <f t="shared" si="17"/>
        <v>0</v>
      </c>
      <c r="P36" s="158">
        <f t="shared" si="17"/>
        <v>0</v>
      </c>
      <c r="Q36" s="158">
        <f t="shared" si="17"/>
        <v>0</v>
      </c>
      <c r="R36" s="151"/>
      <c r="S36" s="151"/>
      <c r="T36" s="151"/>
      <c r="U36" s="151"/>
      <c r="V36" s="151"/>
      <c r="W36" s="151"/>
      <c r="X36" s="151"/>
      <c r="Y36" s="151"/>
      <c r="Z36" s="151"/>
      <c r="AA36" s="151"/>
    </row>
    <row r="37" spans="1:27">
      <c r="A37" s="151"/>
      <c r="B37" s="90" t="s">
        <v>193</v>
      </c>
      <c r="C37" s="156">
        <f t="shared" si="16"/>
        <v>0.57210739520547949</v>
      </c>
      <c r="D37" s="174">
        <f t="shared" ref="D37:Q37" si="18">D18-C18</f>
        <v>-5.7210739520546783E-3</v>
      </c>
      <c r="E37" s="174">
        <f t="shared" si="18"/>
        <v>-5.6638632125344257E-3</v>
      </c>
      <c r="F37" s="174">
        <f t="shared" si="18"/>
        <v>-5.6072245804089649E-3</v>
      </c>
      <c r="G37" s="174">
        <f t="shared" si="18"/>
        <v>-5.5511523346046809E-3</v>
      </c>
      <c r="H37" s="174">
        <f t="shared" si="18"/>
        <v>-5.4956408112587507E-3</v>
      </c>
      <c r="I37" s="174">
        <f t="shared" si="18"/>
        <v>-5.4406844031462676E-3</v>
      </c>
      <c r="J37" s="174">
        <f t="shared" si="18"/>
        <v>-5.3862775591148049E-3</v>
      </c>
      <c r="K37" s="174">
        <f t="shared" si="18"/>
        <v>-5.3324147835235314E-3</v>
      </c>
      <c r="L37" s="174">
        <f t="shared" si="18"/>
        <v>-5.2790906356883216E-3</v>
      </c>
      <c r="M37" s="174">
        <f t="shared" si="18"/>
        <v>-5.2262997293315294E-3</v>
      </c>
      <c r="N37" s="174">
        <f t="shared" si="18"/>
        <v>-5.1740367320379788E-3</v>
      </c>
      <c r="O37" s="174">
        <f t="shared" si="18"/>
        <v>-5.1222963647178377E-3</v>
      </c>
      <c r="P37" s="174">
        <f t="shared" si="18"/>
        <v>-5.0710734010704916E-3</v>
      </c>
      <c r="Q37" s="174">
        <f t="shared" si="18"/>
        <v>-5.0203626670599633E-3</v>
      </c>
      <c r="R37" s="151"/>
      <c r="S37" s="151"/>
      <c r="T37" s="151"/>
      <c r="U37" s="151"/>
      <c r="V37" s="151"/>
      <c r="W37" s="151"/>
      <c r="X37" s="151"/>
      <c r="Y37" s="151"/>
      <c r="Z37" s="151"/>
      <c r="AA37" s="151"/>
    </row>
    <row r="38" spans="1:27">
      <c r="A38" s="151"/>
      <c r="B38" s="92" t="s">
        <v>64</v>
      </c>
      <c r="C38" s="175">
        <f t="shared" ref="C38:Q38" si="19">SUM(C35:C37)</f>
        <v>86.322589953957731</v>
      </c>
      <c r="D38" s="175">
        <f t="shared" si="19"/>
        <v>-3.5786578472333961</v>
      </c>
      <c r="E38" s="175">
        <f t="shared" si="19"/>
        <v>-3.5786006364938761</v>
      </c>
      <c r="F38" s="175">
        <f t="shared" si="19"/>
        <v>-3.5785439978617646</v>
      </c>
      <c r="G38" s="175">
        <f t="shared" si="19"/>
        <v>-3.5784879256159461</v>
      </c>
      <c r="H38" s="175">
        <f t="shared" si="19"/>
        <v>-3.5784324140926005</v>
      </c>
      <c r="I38" s="175">
        <f t="shared" si="19"/>
        <v>-3.5783774576844878</v>
      </c>
      <c r="J38" s="175">
        <f t="shared" si="19"/>
        <v>-3.5783230508404635</v>
      </c>
      <c r="K38" s="175">
        <f t="shared" si="19"/>
        <v>-3.5782691880648652</v>
      </c>
      <c r="L38" s="175">
        <f t="shared" si="19"/>
        <v>-3.5782158639170296</v>
      </c>
      <c r="M38" s="175">
        <f t="shared" si="19"/>
        <v>-3.578163073010673</v>
      </c>
      <c r="N38" s="175">
        <f t="shared" si="19"/>
        <v>-3.5781108100133796</v>
      </c>
      <c r="O38" s="175">
        <f t="shared" si="19"/>
        <v>-3.5780590696460592</v>
      </c>
      <c r="P38" s="175">
        <f t="shared" si="19"/>
        <v>-3.5780078466824121</v>
      </c>
      <c r="Q38" s="175">
        <f t="shared" si="19"/>
        <v>-3.5779571359484015</v>
      </c>
      <c r="R38" s="151"/>
      <c r="S38" s="151"/>
      <c r="T38" s="151"/>
      <c r="U38" s="151"/>
      <c r="V38" s="151"/>
      <c r="W38" s="151"/>
      <c r="X38" s="151"/>
      <c r="Y38" s="151"/>
      <c r="Z38" s="151"/>
      <c r="AA38" s="151"/>
    </row>
    <row r="39" spans="1:27">
      <c r="A39" s="151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151"/>
      <c r="S39" s="151"/>
      <c r="T39" s="151"/>
      <c r="U39" s="151"/>
      <c r="V39" s="151"/>
      <c r="W39" s="151"/>
      <c r="X39" s="151"/>
      <c r="Y39" s="151"/>
      <c r="Z39" s="151"/>
      <c r="AA39" s="151"/>
    </row>
    <row r="40" spans="1:27">
      <c r="A40" s="151"/>
      <c r="B40" s="90" t="s">
        <v>194</v>
      </c>
      <c r="C40" s="174">
        <v>0</v>
      </c>
      <c r="D40" s="174">
        <f t="shared" ref="D40:Q40" si="20">C42</f>
        <v>6.2053931482417966</v>
      </c>
      <c r="E40" s="174">
        <f t="shared" si="20"/>
        <v>10.99197626419139</v>
      </c>
      <c r="F40" s="174">
        <f t="shared" si="20"/>
        <v>13.840163632261005</v>
      </c>
      <c r="G40" s="174">
        <f t="shared" si="20"/>
        <v>16.906117248900287</v>
      </c>
      <c r="H40" s="174">
        <f t="shared" si="20"/>
        <v>20.189863807630598</v>
      </c>
      <c r="I40" s="174">
        <f t="shared" si="20"/>
        <v>23.691376203137615</v>
      </c>
      <c r="J40" s="174">
        <f t="shared" si="20"/>
        <v>27.410572463302607</v>
      </c>
      <c r="K40" s="174">
        <f t="shared" si="20"/>
        <v>31.347314643734812</v>
      </c>
      <c r="L40" s="174">
        <f t="shared" si="20"/>
        <v>35.501407683734286</v>
      </c>
      <c r="M40" s="174">
        <f t="shared" si="20"/>
        <v>39.872598222582418</v>
      </c>
      <c r="N40" s="174">
        <f t="shared" si="20"/>
        <v>44.460573375023408</v>
      </c>
      <c r="O40" s="174">
        <f t="shared" si="20"/>
        <v>49.264959464765269</v>
      </c>
      <c r="P40" s="174">
        <f t="shared" si="20"/>
        <v>54.285320714793507</v>
      </c>
      <c r="Q40" s="174">
        <f t="shared" si="20"/>
        <v>59.521157893253815</v>
      </c>
      <c r="R40" s="151"/>
      <c r="S40" s="151"/>
      <c r="T40" s="151"/>
      <c r="U40" s="151"/>
      <c r="V40" s="151"/>
      <c r="W40" s="151"/>
      <c r="X40" s="151"/>
      <c r="Y40" s="151"/>
      <c r="Z40" s="151"/>
      <c r="AA40" s="151"/>
    </row>
    <row r="41" spans="1:27">
      <c r="A41" s="151"/>
      <c r="B41" s="90" t="s">
        <v>195</v>
      </c>
      <c r="C41" s="174">
        <f t="shared" ref="C41:Q41" si="21">C32-C38</f>
        <v>6.2053931482417966</v>
      </c>
      <c r="D41" s="174">
        <f t="shared" si="21"/>
        <v>4.7865831159495924</v>
      </c>
      <c r="E41" s="174">
        <f t="shared" si="21"/>
        <v>2.848187368069615</v>
      </c>
      <c r="F41" s="174">
        <f t="shared" si="21"/>
        <v>3.0659536166392805</v>
      </c>
      <c r="G41" s="174">
        <f t="shared" si="21"/>
        <v>3.2837465587303112</v>
      </c>
      <c r="H41" s="174">
        <f t="shared" si="21"/>
        <v>3.5015123955070182</v>
      </c>
      <c r="I41" s="174">
        <f t="shared" si="21"/>
        <v>3.7191962601649906</v>
      </c>
      <c r="J41" s="174">
        <f t="shared" si="21"/>
        <v>3.9367421804322049</v>
      </c>
      <c r="K41" s="174">
        <f t="shared" si="21"/>
        <v>4.15409303999947</v>
      </c>
      <c r="L41" s="174">
        <f t="shared" si="21"/>
        <v>4.3711905388481318</v>
      </c>
      <c r="M41" s="174">
        <f t="shared" si="21"/>
        <v>4.5879751524409915</v>
      </c>
      <c r="N41" s="174">
        <f t="shared" si="21"/>
        <v>4.8043860897418629</v>
      </c>
      <c r="O41" s="174">
        <f t="shared" si="21"/>
        <v>5.0203612500282375</v>
      </c>
      <c r="P41" s="174">
        <f t="shared" si="21"/>
        <v>5.2358371784603097</v>
      </c>
      <c r="Q41" s="174">
        <f t="shared" si="21"/>
        <v>5.4507490203683391</v>
      </c>
      <c r="R41" s="151"/>
      <c r="S41" s="151"/>
      <c r="T41" s="151"/>
      <c r="U41" s="151"/>
      <c r="V41" s="151"/>
      <c r="W41" s="151"/>
      <c r="X41" s="151"/>
      <c r="Y41" s="151"/>
      <c r="Z41" s="151"/>
      <c r="AA41" s="151"/>
    </row>
    <row r="42" spans="1:27">
      <c r="A42" s="151"/>
      <c r="B42" s="92" t="s">
        <v>196</v>
      </c>
      <c r="C42" s="176">
        <f t="shared" ref="C42:Q42" si="22">C40+C41</f>
        <v>6.2053931482417966</v>
      </c>
      <c r="D42" s="176">
        <f t="shared" si="22"/>
        <v>10.99197626419139</v>
      </c>
      <c r="E42" s="176">
        <f t="shared" si="22"/>
        <v>13.840163632261005</v>
      </c>
      <c r="F42" s="176">
        <f t="shared" si="22"/>
        <v>16.906117248900287</v>
      </c>
      <c r="G42" s="176">
        <f t="shared" si="22"/>
        <v>20.189863807630598</v>
      </c>
      <c r="H42" s="176">
        <f t="shared" si="22"/>
        <v>23.691376203137615</v>
      </c>
      <c r="I42" s="176">
        <f t="shared" si="22"/>
        <v>27.410572463302607</v>
      </c>
      <c r="J42" s="176">
        <f t="shared" si="22"/>
        <v>31.347314643734812</v>
      </c>
      <c r="K42" s="176">
        <f t="shared" si="22"/>
        <v>35.501407683734286</v>
      </c>
      <c r="L42" s="176">
        <f t="shared" si="22"/>
        <v>39.872598222582418</v>
      </c>
      <c r="M42" s="176">
        <f t="shared" si="22"/>
        <v>44.460573375023408</v>
      </c>
      <c r="N42" s="176">
        <f t="shared" si="22"/>
        <v>49.264959464765269</v>
      </c>
      <c r="O42" s="176">
        <f t="shared" si="22"/>
        <v>54.285320714793507</v>
      </c>
      <c r="P42" s="176">
        <f t="shared" si="22"/>
        <v>59.521157893253815</v>
      </c>
      <c r="Q42" s="176">
        <f t="shared" si="22"/>
        <v>64.971906913622149</v>
      </c>
      <c r="R42" s="151"/>
      <c r="S42" s="151"/>
      <c r="T42" s="151"/>
      <c r="U42" s="151"/>
      <c r="V42" s="151"/>
      <c r="W42" s="151"/>
      <c r="X42" s="151"/>
      <c r="Y42" s="151"/>
      <c r="Z42" s="151"/>
      <c r="AA42" s="151"/>
    </row>
    <row r="43" spans="1:27">
      <c r="A43" s="151"/>
      <c r="B43" s="173"/>
      <c r="C43" s="151"/>
      <c r="D43" s="151"/>
      <c r="E43" s="151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</row>
    <row r="44" spans="1:27">
      <c r="A44" s="151"/>
      <c r="B44" s="173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</row>
  </sheetData>
  <mergeCells count="2">
    <mergeCell ref="A2:Q2"/>
    <mergeCell ref="A24: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J195"/>
  <sheetViews>
    <sheetView workbookViewId="0">
      <pane ySplit="1" topLeftCell="A2" activePane="bottomLeft" state="frozen"/>
      <selection pane="bottomLeft" activeCell="J19" sqref="J19"/>
    </sheetView>
  </sheetViews>
  <sheetFormatPr defaultColWidth="11.25" defaultRowHeight="15" customHeight="1"/>
  <cols>
    <col min="4" max="4" width="11.625" customWidth="1"/>
    <col min="5" max="5" width="14.125" customWidth="1"/>
    <col min="7" max="7" width="13.5" bestFit="1" customWidth="1"/>
  </cols>
  <sheetData>
    <row r="1" spans="1:10">
      <c r="A1" s="177" t="s">
        <v>197</v>
      </c>
      <c r="B1" s="178" t="s">
        <v>198</v>
      </c>
      <c r="C1" s="177" t="s">
        <v>161</v>
      </c>
      <c r="D1" s="178" t="s">
        <v>199</v>
      </c>
      <c r="E1" s="178" t="s">
        <v>200</v>
      </c>
      <c r="F1" s="178" t="s">
        <v>64</v>
      </c>
      <c r="G1" s="177" t="s">
        <v>197</v>
      </c>
      <c r="H1" s="177" t="s">
        <v>201</v>
      </c>
      <c r="I1" s="177" t="s">
        <v>202</v>
      </c>
      <c r="J1" s="179" t="s">
        <v>64</v>
      </c>
    </row>
    <row r="2" spans="1:10">
      <c r="A2" s="180">
        <v>0</v>
      </c>
      <c r="B2" s="181">
        <f>'Project Cost'!C12</f>
        <v>62.526393532423512</v>
      </c>
      <c r="C2" s="182">
        <f>Assumptions!B14</f>
        <v>9.2499999999999999E-2</v>
      </c>
      <c r="D2" s="183"/>
      <c r="E2" s="183"/>
      <c r="F2" s="183"/>
      <c r="G2" s="2"/>
      <c r="H2" s="2"/>
      <c r="I2" s="2"/>
      <c r="J2" s="184"/>
    </row>
    <row r="3" spans="1:10">
      <c r="A3" s="180">
        <v>1</v>
      </c>
      <c r="B3" s="181">
        <f t="shared" ref="B3:B5" si="0">B2</f>
        <v>62.526393532423512</v>
      </c>
      <c r="C3" s="2"/>
      <c r="D3" s="181">
        <v>0</v>
      </c>
      <c r="E3" s="181">
        <f t="shared" ref="E3:E182" si="1">B2*$C$2/12</f>
        <v>0.48197428347909788</v>
      </c>
      <c r="F3" s="181">
        <f t="shared" ref="F3:F182" si="2">D3+E3</f>
        <v>0.48197428347909788</v>
      </c>
      <c r="G3" s="185">
        <v>45748</v>
      </c>
      <c r="H3" s="2"/>
      <c r="I3" s="2"/>
      <c r="J3" s="184"/>
    </row>
    <row r="4" spans="1:10">
      <c r="A4" s="180">
        <v>2</v>
      </c>
      <c r="B4" s="181">
        <f t="shared" si="0"/>
        <v>62.526393532423512</v>
      </c>
      <c r="C4" s="2"/>
      <c r="D4" s="181">
        <v>0</v>
      </c>
      <c r="E4" s="181">
        <f t="shared" si="1"/>
        <v>0.48197428347909788</v>
      </c>
      <c r="F4" s="181">
        <f t="shared" si="2"/>
        <v>0.48197428347909788</v>
      </c>
      <c r="G4" s="185">
        <v>45778</v>
      </c>
      <c r="H4" s="2"/>
      <c r="I4" s="2"/>
      <c r="J4" s="184"/>
    </row>
    <row r="5" spans="1:10">
      <c r="A5" s="180">
        <v>3</v>
      </c>
      <c r="B5" s="181">
        <f t="shared" si="0"/>
        <v>62.526393532423512</v>
      </c>
      <c r="C5" s="2"/>
      <c r="D5" s="181">
        <v>0</v>
      </c>
      <c r="E5" s="181">
        <f t="shared" si="1"/>
        <v>0.48197428347909788</v>
      </c>
      <c r="F5" s="181">
        <f t="shared" si="2"/>
        <v>0.48197428347909788</v>
      </c>
      <c r="G5" s="185">
        <v>45809</v>
      </c>
      <c r="H5" s="2"/>
      <c r="I5" s="2"/>
      <c r="J5" s="184"/>
    </row>
    <row r="6" spans="1:10">
      <c r="A6" s="180">
        <v>4</v>
      </c>
      <c r="B6" s="181">
        <f>B2</f>
        <v>62.526393532423512</v>
      </c>
      <c r="C6" s="2"/>
      <c r="D6" s="181">
        <v>0</v>
      </c>
      <c r="E6" s="181">
        <f t="shared" si="1"/>
        <v>0.48197428347909788</v>
      </c>
      <c r="F6" s="181">
        <f t="shared" si="2"/>
        <v>0.48197428347909788</v>
      </c>
      <c r="G6" s="185">
        <v>45839</v>
      </c>
      <c r="H6" s="2"/>
      <c r="I6" s="2"/>
      <c r="J6" s="184"/>
    </row>
    <row r="7" spans="1:10">
      <c r="A7" s="180">
        <f t="shared" ref="A7:A185" si="3">A6+1</f>
        <v>5</v>
      </c>
      <c r="B7" s="181">
        <f t="shared" ref="B7:B182" si="4">B6-D7</f>
        <v>62.526393532423512</v>
      </c>
      <c r="C7" s="2"/>
      <c r="D7" s="181">
        <v>0</v>
      </c>
      <c r="E7" s="181">
        <f t="shared" si="1"/>
        <v>0.48197428347909788</v>
      </c>
      <c r="F7" s="181">
        <f t="shared" si="2"/>
        <v>0.48197428347909788</v>
      </c>
      <c r="G7" s="185">
        <f t="shared" ref="G7:G51" si="5">G6+31</f>
        <v>45870</v>
      </c>
      <c r="H7" s="2"/>
      <c r="I7" s="2"/>
      <c r="J7" s="184"/>
    </row>
    <row r="8" spans="1:10">
      <c r="A8" s="180">
        <f t="shared" si="3"/>
        <v>6</v>
      </c>
      <c r="B8" s="181">
        <f t="shared" si="4"/>
        <v>62.526393532423512</v>
      </c>
      <c r="C8" s="2"/>
      <c r="D8" s="181">
        <v>0</v>
      </c>
      <c r="E8" s="181">
        <f t="shared" si="1"/>
        <v>0.48197428347909788</v>
      </c>
      <c r="F8" s="181">
        <f t="shared" si="2"/>
        <v>0.48197428347909788</v>
      </c>
      <c r="G8" s="185">
        <f t="shared" si="5"/>
        <v>45901</v>
      </c>
      <c r="H8" s="2"/>
      <c r="I8" s="2"/>
      <c r="J8" s="184"/>
    </row>
    <row r="9" spans="1:10">
      <c r="A9" s="180">
        <f t="shared" si="3"/>
        <v>7</v>
      </c>
      <c r="B9" s="181">
        <f t="shared" si="4"/>
        <v>62.167046443156707</v>
      </c>
      <c r="C9" s="2"/>
      <c r="D9" s="181">
        <f>B2/174</f>
        <v>0.35934708926680181</v>
      </c>
      <c r="E9" s="181">
        <f t="shared" si="1"/>
        <v>0.48197428347909788</v>
      </c>
      <c r="F9" s="181">
        <f t="shared" si="2"/>
        <v>0.84132137274589969</v>
      </c>
      <c r="G9" s="185">
        <f t="shared" si="5"/>
        <v>45932</v>
      </c>
      <c r="H9" s="2"/>
      <c r="I9" s="2"/>
      <c r="J9" s="184"/>
    </row>
    <row r="10" spans="1:10">
      <c r="A10" s="180">
        <f t="shared" si="3"/>
        <v>8</v>
      </c>
      <c r="B10" s="181">
        <f t="shared" si="4"/>
        <v>61.807699353889902</v>
      </c>
      <c r="C10" s="2"/>
      <c r="D10" s="181">
        <f t="shared" ref="D10:D13" si="6">D9</f>
        <v>0.35934708926680181</v>
      </c>
      <c r="E10" s="181">
        <f t="shared" si="1"/>
        <v>0.47920431633266625</v>
      </c>
      <c r="F10" s="181">
        <f t="shared" si="2"/>
        <v>0.83855140559946806</v>
      </c>
      <c r="G10" s="185">
        <f t="shared" si="5"/>
        <v>45963</v>
      </c>
      <c r="H10" s="183"/>
      <c r="I10" s="183"/>
      <c r="J10" s="183"/>
    </row>
    <row r="11" spans="1:10">
      <c r="A11" s="180">
        <f t="shared" si="3"/>
        <v>9</v>
      </c>
      <c r="B11" s="181">
        <f t="shared" si="4"/>
        <v>61.448352264623097</v>
      </c>
      <c r="C11" s="2"/>
      <c r="D11" s="181">
        <f t="shared" si="6"/>
        <v>0.35934708926680181</v>
      </c>
      <c r="E11" s="181">
        <f t="shared" si="1"/>
        <v>0.47643434918623462</v>
      </c>
      <c r="F11" s="181">
        <f t="shared" si="2"/>
        <v>0.83578143845303643</v>
      </c>
      <c r="G11" s="185">
        <f t="shared" si="5"/>
        <v>45994</v>
      </c>
      <c r="H11" s="183"/>
      <c r="I11" s="183"/>
      <c r="J11" s="183"/>
    </row>
    <row r="12" spans="1:10">
      <c r="A12" s="180">
        <f t="shared" si="3"/>
        <v>10</v>
      </c>
      <c r="B12" s="181">
        <f t="shared" si="4"/>
        <v>61.089005175356291</v>
      </c>
      <c r="C12" s="2"/>
      <c r="D12" s="181">
        <f t="shared" si="6"/>
        <v>0.35934708926680181</v>
      </c>
      <c r="E12" s="181">
        <f t="shared" si="1"/>
        <v>0.47366438203980304</v>
      </c>
      <c r="F12" s="181">
        <f t="shared" si="2"/>
        <v>0.8330114713066048</v>
      </c>
      <c r="G12" s="185">
        <f t="shared" si="5"/>
        <v>46025</v>
      </c>
      <c r="H12" s="183"/>
      <c r="I12" s="183"/>
      <c r="J12" s="183"/>
    </row>
    <row r="13" spans="1:10">
      <c r="A13" s="180">
        <f t="shared" si="3"/>
        <v>11</v>
      </c>
      <c r="B13" s="181">
        <f t="shared" si="4"/>
        <v>60.729658086089486</v>
      </c>
      <c r="C13" s="2"/>
      <c r="D13" s="181">
        <f t="shared" si="6"/>
        <v>0.35934708926680181</v>
      </c>
      <c r="E13" s="181">
        <f t="shared" si="1"/>
        <v>0.47089441489337142</v>
      </c>
      <c r="F13" s="181">
        <f t="shared" si="2"/>
        <v>0.83024150416017317</v>
      </c>
      <c r="G13" s="185">
        <f t="shared" si="5"/>
        <v>46056</v>
      </c>
      <c r="H13" s="183"/>
      <c r="I13" s="183"/>
      <c r="J13" s="183"/>
    </row>
    <row r="14" spans="1:10">
      <c r="A14" s="180">
        <f t="shared" si="3"/>
        <v>12</v>
      </c>
      <c r="B14" s="181">
        <f t="shared" si="4"/>
        <v>60.370310996822681</v>
      </c>
      <c r="C14" s="2"/>
      <c r="D14" s="181">
        <f t="shared" ref="D14:D182" si="7">$B$2/174</f>
        <v>0.35934708926680181</v>
      </c>
      <c r="E14" s="181">
        <f t="shared" si="1"/>
        <v>0.46812444774693979</v>
      </c>
      <c r="F14" s="181">
        <f t="shared" si="2"/>
        <v>0.82747153701374154</v>
      </c>
      <c r="G14" s="185">
        <f t="shared" si="5"/>
        <v>46087</v>
      </c>
      <c r="H14" s="181">
        <f>SUM(E3:E14)</f>
        <v>5.7421418945527005</v>
      </c>
      <c r="I14" s="181">
        <f>SUM(D3:D14)</f>
        <v>2.1560825356008109</v>
      </c>
      <c r="J14" s="181">
        <f>I14+H14</f>
        <v>7.8982244301535118</v>
      </c>
    </row>
    <row r="15" spans="1:10">
      <c r="A15" s="180">
        <f t="shared" si="3"/>
        <v>13</v>
      </c>
      <c r="B15" s="181">
        <f t="shared" si="4"/>
        <v>60.010963907555876</v>
      </c>
      <c r="C15" s="2"/>
      <c r="D15" s="181">
        <f t="shared" si="7"/>
        <v>0.35934708926680181</v>
      </c>
      <c r="E15" s="181">
        <f t="shared" si="1"/>
        <v>0.46535448060050816</v>
      </c>
      <c r="F15" s="181">
        <f t="shared" si="2"/>
        <v>0.82470156986730991</v>
      </c>
      <c r="G15" s="185">
        <f t="shared" si="5"/>
        <v>46118</v>
      </c>
      <c r="H15" s="183"/>
      <c r="I15" s="183"/>
      <c r="J15" s="183"/>
    </row>
    <row r="16" spans="1:10">
      <c r="A16" s="180">
        <f t="shared" si="3"/>
        <v>14</v>
      </c>
      <c r="B16" s="181">
        <f t="shared" si="4"/>
        <v>59.651616818289071</v>
      </c>
      <c r="C16" s="2"/>
      <c r="D16" s="181">
        <f t="shared" si="7"/>
        <v>0.35934708926680181</v>
      </c>
      <c r="E16" s="181">
        <f t="shared" si="1"/>
        <v>0.46258451345407653</v>
      </c>
      <c r="F16" s="181">
        <f t="shared" si="2"/>
        <v>0.82193160272087828</v>
      </c>
      <c r="G16" s="185">
        <f t="shared" si="5"/>
        <v>46149</v>
      </c>
      <c r="H16" s="183"/>
      <c r="I16" s="183"/>
      <c r="J16" s="183"/>
    </row>
    <row r="17" spans="1:10">
      <c r="A17" s="180">
        <f t="shared" si="3"/>
        <v>15</v>
      </c>
      <c r="B17" s="181">
        <f t="shared" si="4"/>
        <v>59.292269729022266</v>
      </c>
      <c r="C17" s="2"/>
      <c r="D17" s="181">
        <f t="shared" si="7"/>
        <v>0.35934708926680181</v>
      </c>
      <c r="E17" s="181">
        <f t="shared" si="1"/>
        <v>0.4598145463076449</v>
      </c>
      <c r="F17" s="181">
        <f t="shared" si="2"/>
        <v>0.81916163557444666</v>
      </c>
      <c r="G17" s="185">
        <f t="shared" si="5"/>
        <v>46180</v>
      </c>
      <c r="H17" s="183"/>
      <c r="I17" s="183"/>
      <c r="J17" s="183"/>
    </row>
    <row r="18" spans="1:10">
      <c r="A18" s="180">
        <f t="shared" si="3"/>
        <v>16</v>
      </c>
      <c r="B18" s="181">
        <f t="shared" si="4"/>
        <v>58.932922639755461</v>
      </c>
      <c r="C18" s="2"/>
      <c r="D18" s="181">
        <f t="shared" si="7"/>
        <v>0.35934708926680181</v>
      </c>
      <c r="E18" s="181">
        <f t="shared" si="1"/>
        <v>0.45704457916121327</v>
      </c>
      <c r="F18" s="181">
        <f t="shared" si="2"/>
        <v>0.81639166842801503</v>
      </c>
      <c r="G18" s="185">
        <f t="shared" si="5"/>
        <v>46211</v>
      </c>
      <c r="H18" s="183"/>
      <c r="I18" s="183"/>
      <c r="J18" s="183"/>
    </row>
    <row r="19" spans="1:10">
      <c r="A19" s="180">
        <f t="shared" si="3"/>
        <v>17</v>
      </c>
      <c r="B19" s="181">
        <f t="shared" si="4"/>
        <v>58.573575550488655</v>
      </c>
      <c r="C19" s="2"/>
      <c r="D19" s="181">
        <f t="shared" si="7"/>
        <v>0.35934708926680181</v>
      </c>
      <c r="E19" s="181">
        <f t="shared" si="1"/>
        <v>0.45427461201478164</v>
      </c>
      <c r="F19" s="181">
        <f t="shared" si="2"/>
        <v>0.8136217012815834</v>
      </c>
      <c r="G19" s="185">
        <f t="shared" si="5"/>
        <v>46242</v>
      </c>
      <c r="H19" s="183"/>
      <c r="I19" s="183"/>
      <c r="J19" s="183"/>
    </row>
    <row r="20" spans="1:10">
      <c r="A20" s="180">
        <f t="shared" si="3"/>
        <v>18</v>
      </c>
      <c r="B20" s="181">
        <f t="shared" si="4"/>
        <v>58.21422846122185</v>
      </c>
      <c r="C20" s="2"/>
      <c r="D20" s="181">
        <f t="shared" si="7"/>
        <v>0.35934708926680181</v>
      </c>
      <c r="E20" s="181">
        <f t="shared" si="1"/>
        <v>0.45150464486835001</v>
      </c>
      <c r="F20" s="181">
        <f t="shared" si="2"/>
        <v>0.81085173413515177</v>
      </c>
      <c r="G20" s="185">
        <f t="shared" si="5"/>
        <v>46273</v>
      </c>
      <c r="H20" s="183"/>
      <c r="I20" s="183"/>
      <c r="J20" s="183"/>
    </row>
    <row r="21" spans="1:10">
      <c r="A21" s="180">
        <f t="shared" si="3"/>
        <v>19</v>
      </c>
      <c r="B21" s="181">
        <f t="shared" si="4"/>
        <v>57.854881371955045</v>
      </c>
      <c r="C21" s="2"/>
      <c r="D21" s="181">
        <f t="shared" si="7"/>
        <v>0.35934708926680181</v>
      </c>
      <c r="E21" s="181">
        <f t="shared" si="1"/>
        <v>0.44873467772191838</v>
      </c>
      <c r="F21" s="181">
        <f t="shared" si="2"/>
        <v>0.80808176698872014</v>
      </c>
      <c r="G21" s="185">
        <f t="shared" si="5"/>
        <v>46304</v>
      </c>
      <c r="H21" s="183"/>
      <c r="I21" s="183"/>
      <c r="J21" s="183"/>
    </row>
    <row r="22" spans="1:10">
      <c r="A22" s="180">
        <f t="shared" si="3"/>
        <v>20</v>
      </c>
      <c r="B22" s="181">
        <f t="shared" si="4"/>
        <v>57.49553428268824</v>
      </c>
      <c r="C22" s="2"/>
      <c r="D22" s="181">
        <f t="shared" si="7"/>
        <v>0.35934708926680181</v>
      </c>
      <c r="E22" s="181">
        <f t="shared" si="1"/>
        <v>0.44596471057548676</v>
      </c>
      <c r="F22" s="181">
        <f t="shared" si="2"/>
        <v>0.80531179984228851</v>
      </c>
      <c r="G22" s="185">
        <f t="shared" si="5"/>
        <v>46335</v>
      </c>
      <c r="H22" s="183"/>
      <c r="I22" s="183"/>
      <c r="J22" s="183"/>
    </row>
    <row r="23" spans="1:10">
      <c r="A23" s="180">
        <f t="shared" si="3"/>
        <v>21</v>
      </c>
      <c r="B23" s="181">
        <f t="shared" si="4"/>
        <v>57.136187193421435</v>
      </c>
      <c r="C23" s="2"/>
      <c r="D23" s="181">
        <f t="shared" si="7"/>
        <v>0.35934708926680181</v>
      </c>
      <c r="E23" s="181">
        <f t="shared" si="1"/>
        <v>0.44319474342905513</v>
      </c>
      <c r="F23" s="181">
        <f t="shared" si="2"/>
        <v>0.80254183269585688</v>
      </c>
      <c r="G23" s="185">
        <f t="shared" si="5"/>
        <v>46366</v>
      </c>
      <c r="H23" s="183"/>
      <c r="I23" s="183"/>
      <c r="J23" s="183"/>
    </row>
    <row r="24" spans="1:10">
      <c r="A24" s="180">
        <f t="shared" si="3"/>
        <v>22</v>
      </c>
      <c r="B24" s="181">
        <f t="shared" si="4"/>
        <v>56.77684010415463</v>
      </c>
      <c r="C24" s="2"/>
      <c r="D24" s="181">
        <f t="shared" si="7"/>
        <v>0.35934708926680181</v>
      </c>
      <c r="E24" s="181">
        <f t="shared" si="1"/>
        <v>0.44042477628262361</v>
      </c>
      <c r="F24" s="181">
        <f t="shared" si="2"/>
        <v>0.79977186554942548</v>
      </c>
      <c r="G24" s="185">
        <f t="shared" si="5"/>
        <v>46397</v>
      </c>
      <c r="H24" s="183"/>
      <c r="I24" s="183"/>
      <c r="J24" s="183"/>
    </row>
    <row r="25" spans="1:10">
      <c r="A25" s="180">
        <f t="shared" si="3"/>
        <v>23</v>
      </c>
      <c r="B25" s="181">
        <f t="shared" si="4"/>
        <v>56.417493014887825</v>
      </c>
      <c r="C25" s="2"/>
      <c r="D25" s="181">
        <f t="shared" si="7"/>
        <v>0.35934708926680181</v>
      </c>
      <c r="E25" s="181">
        <f t="shared" si="1"/>
        <v>0.43765480913619198</v>
      </c>
      <c r="F25" s="181">
        <f t="shared" si="2"/>
        <v>0.79700189840299385</v>
      </c>
      <c r="G25" s="185">
        <f t="shared" si="5"/>
        <v>46428</v>
      </c>
      <c r="H25" s="183"/>
      <c r="I25" s="183"/>
      <c r="J25" s="183"/>
    </row>
    <row r="26" spans="1:10">
      <c r="A26" s="180">
        <f t="shared" si="3"/>
        <v>24</v>
      </c>
      <c r="B26" s="181">
        <f t="shared" si="4"/>
        <v>56.05814592562102</v>
      </c>
      <c r="C26" s="2"/>
      <c r="D26" s="181">
        <f t="shared" si="7"/>
        <v>0.35934708926680181</v>
      </c>
      <c r="E26" s="181">
        <f t="shared" si="1"/>
        <v>0.43488484198976035</v>
      </c>
      <c r="F26" s="181">
        <f t="shared" si="2"/>
        <v>0.79423193125656222</v>
      </c>
      <c r="G26" s="185">
        <f t="shared" si="5"/>
        <v>46459</v>
      </c>
      <c r="H26" s="181">
        <f>SUM(E15:E26)</f>
        <v>5.4014359355416106</v>
      </c>
      <c r="I26" s="181">
        <f>SUM(D15:D26)</f>
        <v>4.3121650712016208</v>
      </c>
      <c r="J26" s="181">
        <f>I26+H26</f>
        <v>9.7136010067432323</v>
      </c>
    </row>
    <row r="27" spans="1:10">
      <c r="A27" s="180">
        <f t="shared" si="3"/>
        <v>25</v>
      </c>
      <c r="B27" s="181">
        <f t="shared" si="4"/>
        <v>55.698798836354214</v>
      </c>
      <c r="C27" s="2"/>
      <c r="D27" s="181">
        <f t="shared" si="7"/>
        <v>0.35934708926680181</v>
      </c>
      <c r="E27" s="181">
        <f t="shared" si="1"/>
        <v>0.43211487484332872</v>
      </c>
      <c r="F27" s="181">
        <f t="shared" si="2"/>
        <v>0.79146196411013059</v>
      </c>
      <c r="G27" s="185">
        <f t="shared" si="5"/>
        <v>46490</v>
      </c>
      <c r="H27" s="183"/>
      <c r="I27" s="183"/>
      <c r="J27" s="183"/>
    </row>
    <row r="28" spans="1:10">
      <c r="A28" s="180">
        <f t="shared" si="3"/>
        <v>26</v>
      </c>
      <c r="B28" s="181">
        <f t="shared" si="4"/>
        <v>55.339451747087409</v>
      </c>
      <c r="C28" s="2"/>
      <c r="D28" s="181">
        <f t="shared" si="7"/>
        <v>0.35934708926680181</v>
      </c>
      <c r="E28" s="181">
        <f t="shared" si="1"/>
        <v>0.42934490769689709</v>
      </c>
      <c r="F28" s="181">
        <f t="shared" si="2"/>
        <v>0.78869199696369896</v>
      </c>
      <c r="G28" s="185">
        <f t="shared" si="5"/>
        <v>46521</v>
      </c>
      <c r="H28" s="183"/>
      <c r="I28" s="183"/>
      <c r="J28" s="183"/>
    </row>
    <row r="29" spans="1:10">
      <c r="A29" s="180">
        <f t="shared" si="3"/>
        <v>27</v>
      </c>
      <c r="B29" s="181">
        <f t="shared" si="4"/>
        <v>54.980104657820604</v>
      </c>
      <c r="C29" s="2"/>
      <c r="D29" s="181">
        <f t="shared" si="7"/>
        <v>0.35934708926680181</v>
      </c>
      <c r="E29" s="181">
        <f t="shared" si="1"/>
        <v>0.42657494055046546</v>
      </c>
      <c r="F29" s="181">
        <f t="shared" si="2"/>
        <v>0.78592202981726733</v>
      </c>
      <c r="G29" s="185">
        <f t="shared" si="5"/>
        <v>46552</v>
      </c>
      <c r="H29" s="183"/>
      <c r="I29" s="183"/>
      <c r="J29" s="183"/>
    </row>
    <row r="30" spans="1:10">
      <c r="A30" s="180">
        <f t="shared" si="3"/>
        <v>28</v>
      </c>
      <c r="B30" s="181">
        <f t="shared" si="4"/>
        <v>54.620757568553799</v>
      </c>
      <c r="C30" s="2"/>
      <c r="D30" s="181">
        <f t="shared" si="7"/>
        <v>0.35934708926680181</v>
      </c>
      <c r="E30" s="181">
        <f t="shared" si="1"/>
        <v>0.42380497340403384</v>
      </c>
      <c r="F30" s="181">
        <f t="shared" si="2"/>
        <v>0.7831520626708357</v>
      </c>
      <c r="G30" s="185">
        <f t="shared" si="5"/>
        <v>46583</v>
      </c>
      <c r="H30" s="183"/>
      <c r="I30" s="183"/>
      <c r="J30" s="183"/>
    </row>
    <row r="31" spans="1:10">
      <c r="A31" s="180">
        <f t="shared" si="3"/>
        <v>29</v>
      </c>
      <c r="B31" s="181">
        <f t="shared" si="4"/>
        <v>54.261410479286994</v>
      </c>
      <c r="C31" s="2"/>
      <c r="D31" s="181">
        <f t="shared" si="7"/>
        <v>0.35934708926680181</v>
      </c>
      <c r="E31" s="181">
        <f t="shared" si="1"/>
        <v>0.42103500625760221</v>
      </c>
      <c r="F31" s="181">
        <f t="shared" si="2"/>
        <v>0.78038209552440407</v>
      </c>
      <c r="G31" s="185">
        <f t="shared" si="5"/>
        <v>46614</v>
      </c>
      <c r="H31" s="183"/>
      <c r="I31" s="183"/>
      <c r="J31" s="183"/>
    </row>
    <row r="32" spans="1:10">
      <c r="A32" s="180">
        <f t="shared" si="3"/>
        <v>30</v>
      </c>
      <c r="B32" s="181">
        <f t="shared" si="4"/>
        <v>53.902063390020189</v>
      </c>
      <c r="C32" s="2"/>
      <c r="D32" s="181">
        <f t="shared" si="7"/>
        <v>0.35934708926680181</v>
      </c>
      <c r="E32" s="181">
        <f t="shared" si="1"/>
        <v>0.41826503911117058</v>
      </c>
      <c r="F32" s="181">
        <f t="shared" si="2"/>
        <v>0.77761212837797244</v>
      </c>
      <c r="G32" s="185">
        <f t="shared" si="5"/>
        <v>46645</v>
      </c>
      <c r="H32" s="183"/>
      <c r="I32" s="183"/>
      <c r="J32" s="183"/>
    </row>
    <row r="33" spans="1:10">
      <c r="A33" s="180">
        <f t="shared" si="3"/>
        <v>31</v>
      </c>
      <c r="B33" s="181">
        <f t="shared" si="4"/>
        <v>53.542716300753384</v>
      </c>
      <c r="C33" s="2"/>
      <c r="D33" s="181">
        <f t="shared" si="7"/>
        <v>0.35934708926680181</v>
      </c>
      <c r="E33" s="181">
        <f t="shared" si="1"/>
        <v>0.41549507196473895</v>
      </c>
      <c r="F33" s="181">
        <f t="shared" si="2"/>
        <v>0.77484216123154082</v>
      </c>
      <c r="G33" s="185">
        <f t="shared" si="5"/>
        <v>46676</v>
      </c>
      <c r="H33" s="183"/>
      <c r="I33" s="183"/>
      <c r="J33" s="183"/>
    </row>
    <row r="34" spans="1:10">
      <c r="A34" s="180">
        <f t="shared" si="3"/>
        <v>32</v>
      </c>
      <c r="B34" s="181">
        <f t="shared" si="4"/>
        <v>53.183369211486578</v>
      </c>
      <c r="C34" s="2"/>
      <c r="D34" s="181">
        <f t="shared" si="7"/>
        <v>0.35934708926680181</v>
      </c>
      <c r="E34" s="181">
        <f t="shared" si="1"/>
        <v>0.41272510481830732</v>
      </c>
      <c r="F34" s="181">
        <f t="shared" si="2"/>
        <v>0.77207219408510919</v>
      </c>
      <c r="G34" s="185">
        <f t="shared" si="5"/>
        <v>46707</v>
      </c>
      <c r="H34" s="183"/>
      <c r="I34" s="183"/>
      <c r="J34" s="183"/>
    </row>
    <row r="35" spans="1:10">
      <c r="A35" s="180">
        <f t="shared" si="3"/>
        <v>33</v>
      </c>
      <c r="B35" s="181">
        <f t="shared" si="4"/>
        <v>52.824022122219773</v>
      </c>
      <c r="C35" s="2"/>
      <c r="D35" s="181">
        <f t="shared" si="7"/>
        <v>0.35934708926680181</v>
      </c>
      <c r="E35" s="181">
        <f t="shared" si="1"/>
        <v>0.40995513767187569</v>
      </c>
      <c r="F35" s="181">
        <f t="shared" si="2"/>
        <v>0.76930222693867756</v>
      </c>
      <c r="G35" s="185">
        <f t="shared" si="5"/>
        <v>46738</v>
      </c>
      <c r="H35" s="183"/>
      <c r="I35" s="183"/>
      <c r="J35" s="183"/>
    </row>
    <row r="36" spans="1:10">
      <c r="A36" s="180">
        <f t="shared" si="3"/>
        <v>34</v>
      </c>
      <c r="B36" s="181">
        <f t="shared" si="4"/>
        <v>52.464675032952968</v>
      </c>
      <c r="C36" s="2"/>
      <c r="D36" s="181">
        <f t="shared" si="7"/>
        <v>0.35934708926680181</v>
      </c>
      <c r="E36" s="181">
        <f t="shared" si="1"/>
        <v>0.40718517052544406</v>
      </c>
      <c r="F36" s="181">
        <f t="shared" si="2"/>
        <v>0.76653225979224593</v>
      </c>
      <c r="G36" s="185">
        <f t="shared" si="5"/>
        <v>46769</v>
      </c>
      <c r="H36" s="183"/>
      <c r="I36" s="183"/>
      <c r="J36" s="183"/>
    </row>
    <row r="37" spans="1:10">
      <c r="A37" s="180">
        <f t="shared" si="3"/>
        <v>35</v>
      </c>
      <c r="B37" s="181">
        <f t="shared" si="4"/>
        <v>52.105327943686163</v>
      </c>
      <c r="C37" s="2"/>
      <c r="D37" s="181">
        <f t="shared" si="7"/>
        <v>0.35934708926680181</v>
      </c>
      <c r="E37" s="181">
        <f t="shared" si="1"/>
        <v>0.40441520337901249</v>
      </c>
      <c r="F37" s="181">
        <f t="shared" si="2"/>
        <v>0.7637622926458143</v>
      </c>
      <c r="G37" s="185">
        <f t="shared" si="5"/>
        <v>46800</v>
      </c>
      <c r="H37" s="183"/>
      <c r="I37" s="183"/>
      <c r="J37" s="183"/>
    </row>
    <row r="38" spans="1:10">
      <c r="A38" s="180">
        <f t="shared" si="3"/>
        <v>36</v>
      </c>
      <c r="B38" s="181">
        <f t="shared" si="4"/>
        <v>51.745980854419358</v>
      </c>
      <c r="C38" s="2"/>
      <c r="D38" s="181">
        <f t="shared" si="7"/>
        <v>0.35934708926680181</v>
      </c>
      <c r="E38" s="181">
        <f t="shared" si="1"/>
        <v>0.40164523623258086</v>
      </c>
      <c r="F38" s="181">
        <f t="shared" si="2"/>
        <v>0.76099232549938267</v>
      </c>
      <c r="G38" s="185">
        <f t="shared" si="5"/>
        <v>46831</v>
      </c>
      <c r="H38" s="181">
        <f>SUM(E27:E38)</f>
        <v>5.0025606664554569</v>
      </c>
      <c r="I38" s="181">
        <f>SUM(D27:D38)</f>
        <v>4.3121650712016208</v>
      </c>
      <c r="J38" s="181">
        <f>I38+H38</f>
        <v>9.3147257376570778</v>
      </c>
    </row>
    <row r="39" spans="1:10">
      <c r="A39" s="180">
        <f t="shared" si="3"/>
        <v>37</v>
      </c>
      <c r="B39" s="181">
        <f t="shared" si="4"/>
        <v>51.386633765152553</v>
      </c>
      <c r="C39" s="2"/>
      <c r="D39" s="181">
        <f t="shared" si="7"/>
        <v>0.35934708926680181</v>
      </c>
      <c r="E39" s="181">
        <f t="shared" si="1"/>
        <v>0.39887526908614923</v>
      </c>
      <c r="F39" s="181">
        <f t="shared" si="2"/>
        <v>0.75822235835295104</v>
      </c>
      <c r="G39" s="185">
        <f t="shared" si="5"/>
        <v>46862</v>
      </c>
      <c r="H39" s="183"/>
      <c r="I39" s="183"/>
      <c r="J39" s="183"/>
    </row>
    <row r="40" spans="1:10">
      <c r="A40" s="180">
        <f t="shared" si="3"/>
        <v>38</v>
      </c>
      <c r="B40" s="181">
        <f t="shared" si="4"/>
        <v>51.027286675885748</v>
      </c>
      <c r="C40" s="2"/>
      <c r="D40" s="181">
        <f t="shared" si="7"/>
        <v>0.35934708926680181</v>
      </c>
      <c r="E40" s="181">
        <f t="shared" si="1"/>
        <v>0.3961053019397176</v>
      </c>
      <c r="F40" s="181">
        <f t="shared" si="2"/>
        <v>0.75545239120651941</v>
      </c>
      <c r="G40" s="185">
        <f t="shared" si="5"/>
        <v>46893</v>
      </c>
      <c r="H40" s="183"/>
      <c r="I40" s="183"/>
      <c r="J40" s="183"/>
    </row>
    <row r="41" spans="1:10">
      <c r="A41" s="180">
        <f t="shared" si="3"/>
        <v>39</v>
      </c>
      <c r="B41" s="181">
        <f t="shared" si="4"/>
        <v>50.667939586618942</v>
      </c>
      <c r="C41" s="2"/>
      <c r="D41" s="181">
        <f t="shared" si="7"/>
        <v>0.35934708926680181</v>
      </c>
      <c r="E41" s="181">
        <f t="shared" si="1"/>
        <v>0.39333533479328597</v>
      </c>
      <c r="F41" s="181">
        <f t="shared" si="2"/>
        <v>0.75268242406008778</v>
      </c>
      <c r="G41" s="185">
        <f t="shared" si="5"/>
        <v>46924</v>
      </c>
      <c r="H41" s="183"/>
      <c r="I41" s="183"/>
      <c r="J41" s="183"/>
    </row>
    <row r="42" spans="1:10">
      <c r="A42" s="180">
        <f t="shared" si="3"/>
        <v>40</v>
      </c>
      <c r="B42" s="181">
        <f t="shared" si="4"/>
        <v>50.308592497352137</v>
      </c>
      <c r="C42" s="2"/>
      <c r="D42" s="181">
        <f t="shared" si="7"/>
        <v>0.35934708926680181</v>
      </c>
      <c r="E42" s="181">
        <f t="shared" si="1"/>
        <v>0.39056536764685434</v>
      </c>
      <c r="F42" s="181">
        <f t="shared" si="2"/>
        <v>0.74991245691365616</v>
      </c>
      <c r="G42" s="185">
        <f t="shared" si="5"/>
        <v>46955</v>
      </c>
      <c r="H42" s="183"/>
      <c r="I42" s="183"/>
      <c r="J42" s="183"/>
    </row>
    <row r="43" spans="1:10">
      <c r="A43" s="180">
        <f t="shared" si="3"/>
        <v>41</v>
      </c>
      <c r="B43" s="181">
        <f t="shared" si="4"/>
        <v>49.949245408085332</v>
      </c>
      <c r="C43" s="2"/>
      <c r="D43" s="181">
        <f t="shared" si="7"/>
        <v>0.35934708926680181</v>
      </c>
      <c r="E43" s="181">
        <f t="shared" si="1"/>
        <v>0.38779540050042272</v>
      </c>
      <c r="F43" s="181">
        <f t="shared" si="2"/>
        <v>0.74714248976722453</v>
      </c>
      <c r="G43" s="185">
        <f t="shared" si="5"/>
        <v>46986</v>
      </c>
      <c r="H43" s="183"/>
      <c r="I43" s="183"/>
      <c r="J43" s="183"/>
    </row>
    <row r="44" spans="1:10">
      <c r="A44" s="180">
        <f t="shared" si="3"/>
        <v>42</v>
      </c>
      <c r="B44" s="181">
        <f t="shared" si="4"/>
        <v>49.589898318818527</v>
      </c>
      <c r="C44" s="2"/>
      <c r="D44" s="181">
        <f t="shared" si="7"/>
        <v>0.35934708926680181</v>
      </c>
      <c r="E44" s="181">
        <f t="shared" si="1"/>
        <v>0.38502543335399109</v>
      </c>
      <c r="F44" s="181">
        <f t="shared" si="2"/>
        <v>0.7443725226207929</v>
      </c>
      <c r="G44" s="185">
        <f t="shared" si="5"/>
        <v>47017</v>
      </c>
      <c r="H44" s="183"/>
      <c r="I44" s="183"/>
      <c r="J44" s="183"/>
    </row>
    <row r="45" spans="1:10">
      <c r="A45" s="180">
        <f t="shared" si="3"/>
        <v>43</v>
      </c>
      <c r="B45" s="181">
        <f t="shared" si="4"/>
        <v>49.230551229551722</v>
      </c>
      <c r="C45" s="2"/>
      <c r="D45" s="181">
        <f t="shared" si="7"/>
        <v>0.35934708926680181</v>
      </c>
      <c r="E45" s="181">
        <f t="shared" si="1"/>
        <v>0.38225546620755946</v>
      </c>
      <c r="F45" s="181">
        <f t="shared" si="2"/>
        <v>0.74160255547436127</v>
      </c>
      <c r="G45" s="185">
        <f t="shared" si="5"/>
        <v>47048</v>
      </c>
      <c r="H45" s="183"/>
      <c r="I45" s="183"/>
      <c r="J45" s="183"/>
    </row>
    <row r="46" spans="1:10">
      <c r="A46" s="180">
        <f t="shared" si="3"/>
        <v>44</v>
      </c>
      <c r="B46" s="181">
        <f t="shared" si="4"/>
        <v>48.871204140284917</v>
      </c>
      <c r="C46" s="2"/>
      <c r="D46" s="181">
        <f t="shared" si="7"/>
        <v>0.35934708926680181</v>
      </c>
      <c r="E46" s="181">
        <f t="shared" si="1"/>
        <v>0.37948549906112783</v>
      </c>
      <c r="F46" s="181">
        <f t="shared" si="2"/>
        <v>0.73883258832792964</v>
      </c>
      <c r="G46" s="185">
        <f t="shared" si="5"/>
        <v>47079</v>
      </c>
      <c r="H46" s="183"/>
      <c r="I46" s="183"/>
      <c r="J46" s="183"/>
    </row>
    <row r="47" spans="1:10">
      <c r="A47" s="180">
        <f t="shared" si="3"/>
        <v>45</v>
      </c>
      <c r="B47" s="181">
        <f t="shared" si="4"/>
        <v>48.511857051018112</v>
      </c>
      <c r="C47" s="2"/>
      <c r="D47" s="181">
        <f t="shared" si="7"/>
        <v>0.35934708926680181</v>
      </c>
      <c r="E47" s="181">
        <f t="shared" si="1"/>
        <v>0.3767155319146962</v>
      </c>
      <c r="F47" s="181">
        <f t="shared" si="2"/>
        <v>0.73606262118149801</v>
      </c>
      <c r="G47" s="185">
        <f t="shared" si="5"/>
        <v>47110</v>
      </c>
      <c r="H47" s="183"/>
      <c r="I47" s="183"/>
      <c r="J47" s="183"/>
    </row>
    <row r="48" spans="1:10">
      <c r="A48" s="180">
        <f t="shared" si="3"/>
        <v>46</v>
      </c>
      <c r="B48" s="181">
        <f t="shared" si="4"/>
        <v>48.152509961751306</v>
      </c>
      <c r="C48" s="2"/>
      <c r="D48" s="181">
        <f t="shared" si="7"/>
        <v>0.35934708926680181</v>
      </c>
      <c r="E48" s="181">
        <f t="shared" si="1"/>
        <v>0.37394556476826457</v>
      </c>
      <c r="F48" s="181">
        <f t="shared" si="2"/>
        <v>0.73329265403506638</v>
      </c>
      <c r="G48" s="185">
        <f t="shared" si="5"/>
        <v>47141</v>
      </c>
      <c r="H48" s="183"/>
      <c r="I48" s="183"/>
      <c r="J48" s="183"/>
    </row>
    <row r="49" spans="1:10">
      <c r="A49" s="180">
        <f t="shared" si="3"/>
        <v>47</v>
      </c>
      <c r="B49" s="181">
        <f t="shared" si="4"/>
        <v>47.793162872484501</v>
      </c>
      <c r="C49" s="2"/>
      <c r="D49" s="181">
        <f t="shared" si="7"/>
        <v>0.35934708926680181</v>
      </c>
      <c r="E49" s="181">
        <f t="shared" si="1"/>
        <v>0.371175597621833</v>
      </c>
      <c r="F49" s="181">
        <f t="shared" si="2"/>
        <v>0.73052268688863475</v>
      </c>
      <c r="G49" s="185">
        <f t="shared" si="5"/>
        <v>47172</v>
      </c>
      <c r="H49" s="183"/>
      <c r="I49" s="183"/>
      <c r="J49" s="183"/>
    </row>
    <row r="50" spans="1:10">
      <c r="A50" s="180">
        <f t="shared" si="3"/>
        <v>48</v>
      </c>
      <c r="B50" s="181">
        <f t="shared" si="4"/>
        <v>47.433815783217696</v>
      </c>
      <c r="C50" s="2"/>
      <c r="D50" s="181">
        <f t="shared" si="7"/>
        <v>0.35934708926680181</v>
      </c>
      <c r="E50" s="181">
        <f t="shared" si="1"/>
        <v>0.36840563047540137</v>
      </c>
      <c r="F50" s="181">
        <f t="shared" si="2"/>
        <v>0.72775271974220312</v>
      </c>
      <c r="G50" s="185">
        <f t="shared" si="5"/>
        <v>47203</v>
      </c>
      <c r="H50" s="181">
        <f>SUM(E39:E50)</f>
        <v>4.6036853973693042</v>
      </c>
      <c r="I50" s="181">
        <f>SUM(D39:D50)</f>
        <v>4.3121650712016208</v>
      </c>
      <c r="J50" s="181">
        <f>I50+H50</f>
        <v>8.915850468570925</v>
      </c>
    </row>
    <row r="51" spans="1:10">
      <c r="A51" s="180">
        <f t="shared" si="3"/>
        <v>49</v>
      </c>
      <c r="B51" s="181">
        <f t="shared" si="4"/>
        <v>47.074468693950891</v>
      </c>
      <c r="C51" s="2"/>
      <c r="D51" s="181">
        <f t="shared" si="7"/>
        <v>0.35934708926680181</v>
      </c>
      <c r="E51" s="181">
        <f t="shared" si="1"/>
        <v>0.36563566332896974</v>
      </c>
      <c r="F51" s="181">
        <f t="shared" si="2"/>
        <v>0.7249827525957715</v>
      </c>
      <c r="G51" s="185">
        <f t="shared" si="5"/>
        <v>47234</v>
      </c>
      <c r="H51" s="183"/>
      <c r="I51" s="183"/>
      <c r="J51" s="183"/>
    </row>
    <row r="52" spans="1:10">
      <c r="A52" s="180">
        <f t="shared" si="3"/>
        <v>50</v>
      </c>
      <c r="B52" s="181">
        <f t="shared" si="4"/>
        <v>46.715121604684086</v>
      </c>
      <c r="C52" s="2"/>
      <c r="D52" s="181">
        <f t="shared" si="7"/>
        <v>0.35934708926680181</v>
      </c>
      <c r="E52" s="181">
        <f t="shared" si="1"/>
        <v>0.36286569618253811</v>
      </c>
      <c r="F52" s="181">
        <f t="shared" si="2"/>
        <v>0.72221278544933987</v>
      </c>
      <c r="G52" s="185">
        <f>G51+22</f>
        <v>47256</v>
      </c>
      <c r="H52" s="183"/>
      <c r="I52" s="183"/>
      <c r="J52" s="183"/>
    </row>
    <row r="53" spans="1:10">
      <c r="A53" s="180">
        <f t="shared" si="3"/>
        <v>51</v>
      </c>
      <c r="B53" s="181">
        <f t="shared" si="4"/>
        <v>46.355774515417281</v>
      </c>
      <c r="C53" s="2"/>
      <c r="D53" s="181">
        <f t="shared" si="7"/>
        <v>0.35934708926680181</v>
      </c>
      <c r="E53" s="181">
        <f t="shared" si="1"/>
        <v>0.36009572903610648</v>
      </c>
      <c r="F53" s="181">
        <f t="shared" si="2"/>
        <v>0.71944281830290824</v>
      </c>
      <c r="G53" s="185">
        <f t="shared" ref="G53:G65" si="8">G52+31</f>
        <v>47287</v>
      </c>
      <c r="H53" s="183"/>
      <c r="I53" s="183"/>
      <c r="J53" s="183"/>
    </row>
    <row r="54" spans="1:10">
      <c r="A54" s="180">
        <f t="shared" si="3"/>
        <v>52</v>
      </c>
      <c r="B54" s="181">
        <f t="shared" si="4"/>
        <v>45.996427426150476</v>
      </c>
      <c r="C54" s="2"/>
      <c r="D54" s="181">
        <f t="shared" si="7"/>
        <v>0.35934708926680181</v>
      </c>
      <c r="E54" s="181">
        <f t="shared" si="1"/>
        <v>0.35732576188967485</v>
      </c>
      <c r="F54" s="181">
        <f t="shared" si="2"/>
        <v>0.71667285115647661</v>
      </c>
      <c r="G54" s="185">
        <f t="shared" si="8"/>
        <v>47318</v>
      </c>
      <c r="H54" s="183"/>
      <c r="I54" s="183"/>
      <c r="J54" s="183"/>
    </row>
    <row r="55" spans="1:10">
      <c r="A55" s="180">
        <f t="shared" si="3"/>
        <v>53</v>
      </c>
      <c r="B55" s="181">
        <f t="shared" si="4"/>
        <v>45.63708033688367</v>
      </c>
      <c r="C55" s="2"/>
      <c r="D55" s="181">
        <f t="shared" si="7"/>
        <v>0.35934708926680181</v>
      </c>
      <c r="E55" s="181">
        <f t="shared" si="1"/>
        <v>0.35455579474324322</v>
      </c>
      <c r="F55" s="181">
        <f t="shared" si="2"/>
        <v>0.71390288401004498</v>
      </c>
      <c r="G55" s="185">
        <f t="shared" si="8"/>
        <v>47349</v>
      </c>
      <c r="H55" s="183"/>
      <c r="I55" s="183"/>
      <c r="J55" s="183"/>
    </row>
    <row r="56" spans="1:10">
      <c r="A56" s="180">
        <f t="shared" si="3"/>
        <v>54</v>
      </c>
      <c r="B56" s="181">
        <f t="shared" si="4"/>
        <v>45.277733247616865</v>
      </c>
      <c r="C56" s="2"/>
      <c r="D56" s="181">
        <f t="shared" si="7"/>
        <v>0.35934708926680181</v>
      </c>
      <c r="E56" s="181">
        <f t="shared" si="1"/>
        <v>0.3517858275968116</v>
      </c>
      <c r="F56" s="181">
        <f t="shared" si="2"/>
        <v>0.71113291686361335</v>
      </c>
      <c r="G56" s="185">
        <f t="shared" si="8"/>
        <v>47380</v>
      </c>
      <c r="H56" s="183"/>
      <c r="I56" s="183"/>
      <c r="J56" s="183"/>
    </row>
    <row r="57" spans="1:10">
      <c r="A57" s="180">
        <f t="shared" si="3"/>
        <v>55</v>
      </c>
      <c r="B57" s="181">
        <f t="shared" si="4"/>
        <v>44.91838615835006</v>
      </c>
      <c r="C57" s="2"/>
      <c r="D57" s="181">
        <f t="shared" si="7"/>
        <v>0.35934708926680181</v>
      </c>
      <c r="E57" s="181">
        <f t="shared" si="1"/>
        <v>0.34901586045037997</v>
      </c>
      <c r="F57" s="181">
        <f t="shared" si="2"/>
        <v>0.70836294971718172</v>
      </c>
      <c r="G57" s="185">
        <f t="shared" si="8"/>
        <v>47411</v>
      </c>
      <c r="H57" s="183"/>
      <c r="I57" s="183"/>
      <c r="J57" s="183"/>
    </row>
    <row r="58" spans="1:10">
      <c r="A58" s="180">
        <f t="shared" si="3"/>
        <v>56</v>
      </c>
      <c r="B58" s="181">
        <f t="shared" si="4"/>
        <v>44.559039069083255</v>
      </c>
      <c r="C58" s="2"/>
      <c r="D58" s="181">
        <f t="shared" si="7"/>
        <v>0.35934708926680181</v>
      </c>
      <c r="E58" s="181">
        <f t="shared" si="1"/>
        <v>0.34624589330394834</v>
      </c>
      <c r="F58" s="181">
        <f t="shared" si="2"/>
        <v>0.70559298257075009</v>
      </c>
      <c r="G58" s="185">
        <f t="shared" si="8"/>
        <v>47442</v>
      </c>
      <c r="H58" s="183"/>
      <c r="I58" s="183"/>
      <c r="J58" s="183"/>
    </row>
    <row r="59" spans="1:10">
      <c r="A59" s="180">
        <f t="shared" si="3"/>
        <v>57</v>
      </c>
      <c r="B59" s="181">
        <f t="shared" si="4"/>
        <v>44.19969197981645</v>
      </c>
      <c r="C59" s="2"/>
      <c r="D59" s="181">
        <f t="shared" si="7"/>
        <v>0.35934708926680181</v>
      </c>
      <c r="E59" s="181">
        <f t="shared" si="1"/>
        <v>0.34347592615751671</v>
      </c>
      <c r="F59" s="181">
        <f t="shared" si="2"/>
        <v>0.70282301542431846</v>
      </c>
      <c r="G59" s="185">
        <f t="shared" si="8"/>
        <v>47473</v>
      </c>
      <c r="H59" s="183"/>
      <c r="I59" s="183"/>
      <c r="J59" s="183"/>
    </row>
    <row r="60" spans="1:10">
      <c r="A60" s="180">
        <f t="shared" si="3"/>
        <v>58</v>
      </c>
      <c r="B60" s="181">
        <f t="shared" si="4"/>
        <v>43.840344890549645</v>
      </c>
      <c r="C60" s="2"/>
      <c r="D60" s="181">
        <f t="shared" si="7"/>
        <v>0.35934708926680181</v>
      </c>
      <c r="E60" s="181">
        <f t="shared" si="1"/>
        <v>0.34070595901108508</v>
      </c>
      <c r="F60" s="181">
        <f t="shared" si="2"/>
        <v>0.70005304827788684</v>
      </c>
      <c r="G60" s="185">
        <f t="shared" si="8"/>
        <v>47504</v>
      </c>
      <c r="H60" s="183"/>
      <c r="I60" s="183"/>
      <c r="J60" s="183"/>
    </row>
    <row r="61" spans="1:10">
      <c r="A61" s="180">
        <f t="shared" si="3"/>
        <v>59</v>
      </c>
      <c r="B61" s="181">
        <f t="shared" si="4"/>
        <v>43.48099780128284</v>
      </c>
      <c r="C61" s="2"/>
      <c r="D61" s="181">
        <f t="shared" si="7"/>
        <v>0.35934708926680181</v>
      </c>
      <c r="E61" s="181">
        <f t="shared" si="1"/>
        <v>0.33793599186465356</v>
      </c>
      <c r="F61" s="181">
        <f t="shared" si="2"/>
        <v>0.69728308113145543</v>
      </c>
      <c r="G61" s="185">
        <f t="shared" si="8"/>
        <v>47535</v>
      </c>
      <c r="H61" s="183"/>
      <c r="I61" s="183"/>
      <c r="J61" s="183"/>
    </row>
    <row r="62" spans="1:10">
      <c r="A62" s="180">
        <f t="shared" si="3"/>
        <v>60</v>
      </c>
      <c r="B62" s="181">
        <f t="shared" si="4"/>
        <v>43.121650712016034</v>
      </c>
      <c r="C62" s="2"/>
      <c r="D62" s="181">
        <f t="shared" si="7"/>
        <v>0.35934708926680181</v>
      </c>
      <c r="E62" s="181">
        <f t="shared" si="1"/>
        <v>0.33516602471822193</v>
      </c>
      <c r="F62" s="181">
        <f t="shared" si="2"/>
        <v>0.6945131139850238</v>
      </c>
      <c r="G62" s="185">
        <f t="shared" si="8"/>
        <v>47566</v>
      </c>
      <c r="H62" s="181">
        <f>SUM(E51:E62)</f>
        <v>4.2048101282831496</v>
      </c>
      <c r="I62" s="181">
        <f>SUM(D51:D62)</f>
        <v>4.3121650712016208</v>
      </c>
      <c r="J62" s="181">
        <f>I62+H62</f>
        <v>8.5169751994847704</v>
      </c>
    </row>
    <row r="63" spans="1:10">
      <c r="A63" s="180">
        <f t="shared" si="3"/>
        <v>61</v>
      </c>
      <c r="B63" s="181">
        <f t="shared" si="4"/>
        <v>42.762303622749229</v>
      </c>
      <c r="C63" s="2"/>
      <c r="D63" s="181">
        <f t="shared" si="7"/>
        <v>0.35934708926680181</v>
      </c>
      <c r="E63" s="181">
        <f t="shared" si="1"/>
        <v>0.33239605757179025</v>
      </c>
      <c r="F63" s="181">
        <f t="shared" si="2"/>
        <v>0.69174314683859206</v>
      </c>
      <c r="G63" s="185">
        <f t="shared" si="8"/>
        <v>47597</v>
      </c>
      <c r="H63" s="183"/>
      <c r="I63" s="183"/>
      <c r="J63" s="183"/>
    </row>
    <row r="64" spans="1:10">
      <c r="A64" s="180">
        <f t="shared" si="3"/>
        <v>62</v>
      </c>
      <c r="B64" s="181">
        <f t="shared" si="4"/>
        <v>42.402956533482424</v>
      </c>
      <c r="C64" s="2"/>
      <c r="D64" s="181">
        <f t="shared" si="7"/>
        <v>0.35934708926680181</v>
      </c>
      <c r="E64" s="181">
        <f t="shared" si="1"/>
        <v>0.32962609042535862</v>
      </c>
      <c r="F64" s="181">
        <f t="shared" si="2"/>
        <v>0.68897317969216043</v>
      </c>
      <c r="G64" s="185">
        <f t="shared" si="8"/>
        <v>47628</v>
      </c>
      <c r="H64" s="183"/>
      <c r="I64" s="183"/>
      <c r="J64" s="183"/>
    </row>
    <row r="65" spans="1:10">
      <c r="A65" s="180">
        <f t="shared" si="3"/>
        <v>63</v>
      </c>
      <c r="B65" s="181">
        <f t="shared" si="4"/>
        <v>42.043609444215619</v>
      </c>
      <c r="C65" s="2"/>
      <c r="D65" s="181">
        <f t="shared" si="7"/>
        <v>0.35934708926680181</v>
      </c>
      <c r="E65" s="181">
        <f t="shared" si="1"/>
        <v>0.32685612327892705</v>
      </c>
      <c r="F65" s="181">
        <f t="shared" si="2"/>
        <v>0.68620321254572891</v>
      </c>
      <c r="G65" s="185">
        <f t="shared" si="8"/>
        <v>47659</v>
      </c>
      <c r="H65" s="183"/>
      <c r="I65" s="183"/>
      <c r="J65" s="183"/>
    </row>
    <row r="66" spans="1:10">
      <c r="A66" s="180">
        <f t="shared" si="3"/>
        <v>64</v>
      </c>
      <c r="B66" s="181">
        <f t="shared" si="4"/>
        <v>41.684262354948814</v>
      </c>
      <c r="C66" s="2"/>
      <c r="D66" s="181">
        <f t="shared" si="7"/>
        <v>0.35934708926680181</v>
      </c>
      <c r="E66" s="181">
        <f t="shared" si="1"/>
        <v>0.32408615613249542</v>
      </c>
      <c r="F66" s="181">
        <f t="shared" si="2"/>
        <v>0.68343324539929728</v>
      </c>
      <c r="G66" s="185">
        <f>G65+20</f>
        <v>47679</v>
      </c>
      <c r="H66" s="183"/>
      <c r="I66" s="183"/>
      <c r="J66" s="183"/>
    </row>
    <row r="67" spans="1:10">
      <c r="A67" s="180">
        <f t="shared" si="3"/>
        <v>65</v>
      </c>
      <c r="B67" s="181">
        <f t="shared" si="4"/>
        <v>41.324915265682009</v>
      </c>
      <c r="C67" s="2"/>
      <c r="D67" s="181">
        <f t="shared" si="7"/>
        <v>0.35934708926680181</v>
      </c>
      <c r="E67" s="181">
        <f t="shared" si="1"/>
        <v>0.32131618898606379</v>
      </c>
      <c r="F67" s="181">
        <f t="shared" si="2"/>
        <v>0.68066327825286566</v>
      </c>
      <c r="G67" s="185">
        <f t="shared" ref="G67:G87" si="9">G66+31</f>
        <v>47710</v>
      </c>
      <c r="H67" s="183"/>
      <c r="I67" s="183"/>
      <c r="J67" s="183"/>
    </row>
    <row r="68" spans="1:10">
      <c r="A68" s="180">
        <f t="shared" si="3"/>
        <v>66</v>
      </c>
      <c r="B68" s="181">
        <f t="shared" si="4"/>
        <v>40.965568176415204</v>
      </c>
      <c r="C68" s="2"/>
      <c r="D68" s="181">
        <f t="shared" si="7"/>
        <v>0.35934708926680181</v>
      </c>
      <c r="E68" s="181">
        <f t="shared" si="1"/>
        <v>0.31854622183963216</v>
      </c>
      <c r="F68" s="181">
        <f t="shared" si="2"/>
        <v>0.67789331110643403</v>
      </c>
      <c r="G68" s="185">
        <f t="shared" si="9"/>
        <v>47741</v>
      </c>
      <c r="H68" s="183"/>
      <c r="I68" s="183"/>
      <c r="J68" s="183"/>
    </row>
    <row r="69" spans="1:10">
      <c r="A69" s="180">
        <f t="shared" si="3"/>
        <v>67</v>
      </c>
      <c r="B69" s="181">
        <f t="shared" si="4"/>
        <v>40.606221087148398</v>
      </c>
      <c r="C69" s="2"/>
      <c r="D69" s="181">
        <f t="shared" si="7"/>
        <v>0.35934708926680181</v>
      </c>
      <c r="E69" s="181">
        <f t="shared" si="1"/>
        <v>0.31577625469320053</v>
      </c>
      <c r="F69" s="181">
        <f t="shared" si="2"/>
        <v>0.6751233439600024</v>
      </c>
      <c r="G69" s="185">
        <f t="shared" si="9"/>
        <v>47772</v>
      </c>
      <c r="H69" s="183"/>
      <c r="I69" s="183"/>
      <c r="J69" s="183"/>
    </row>
    <row r="70" spans="1:10">
      <c r="A70" s="180">
        <f t="shared" si="3"/>
        <v>68</v>
      </c>
      <c r="B70" s="181">
        <f t="shared" si="4"/>
        <v>40.246873997881593</v>
      </c>
      <c r="C70" s="2"/>
      <c r="D70" s="181">
        <f t="shared" si="7"/>
        <v>0.35934708926680181</v>
      </c>
      <c r="E70" s="181">
        <f t="shared" si="1"/>
        <v>0.3130062875467689</v>
      </c>
      <c r="F70" s="181">
        <f t="shared" si="2"/>
        <v>0.67235337681357077</v>
      </c>
      <c r="G70" s="185">
        <f t="shared" si="9"/>
        <v>47803</v>
      </c>
      <c r="H70" s="183"/>
      <c r="I70" s="183"/>
      <c r="J70" s="183"/>
    </row>
    <row r="71" spans="1:10">
      <c r="A71" s="180">
        <f t="shared" si="3"/>
        <v>69</v>
      </c>
      <c r="B71" s="181">
        <f t="shared" si="4"/>
        <v>39.887526908614788</v>
      </c>
      <c r="C71" s="2"/>
      <c r="D71" s="181">
        <f t="shared" si="7"/>
        <v>0.35934708926680181</v>
      </c>
      <c r="E71" s="181">
        <f t="shared" si="1"/>
        <v>0.31023632040033727</v>
      </c>
      <c r="F71" s="181">
        <f t="shared" si="2"/>
        <v>0.66958340966713914</v>
      </c>
      <c r="G71" s="185">
        <f t="shared" si="9"/>
        <v>47834</v>
      </c>
      <c r="H71" s="183"/>
      <c r="I71" s="183"/>
      <c r="J71" s="183"/>
    </row>
    <row r="72" spans="1:10">
      <c r="A72" s="180">
        <f t="shared" si="3"/>
        <v>70</v>
      </c>
      <c r="B72" s="181">
        <f t="shared" si="4"/>
        <v>39.528179819347983</v>
      </c>
      <c r="C72" s="2"/>
      <c r="D72" s="181">
        <f t="shared" si="7"/>
        <v>0.35934708926680181</v>
      </c>
      <c r="E72" s="181">
        <f t="shared" si="1"/>
        <v>0.30746635325390564</v>
      </c>
      <c r="F72" s="181">
        <f t="shared" si="2"/>
        <v>0.66681344252070751</v>
      </c>
      <c r="G72" s="185">
        <f t="shared" si="9"/>
        <v>47865</v>
      </c>
      <c r="H72" s="183"/>
      <c r="I72" s="183"/>
      <c r="J72" s="183"/>
    </row>
    <row r="73" spans="1:10">
      <c r="A73" s="180">
        <f t="shared" si="3"/>
        <v>71</v>
      </c>
      <c r="B73" s="181">
        <f t="shared" si="4"/>
        <v>39.168832730081178</v>
      </c>
      <c r="C73" s="2"/>
      <c r="D73" s="181">
        <f t="shared" si="7"/>
        <v>0.35934708926680181</v>
      </c>
      <c r="E73" s="181">
        <f t="shared" si="1"/>
        <v>0.30469638610747402</v>
      </c>
      <c r="F73" s="181">
        <f t="shared" si="2"/>
        <v>0.66404347537427588</v>
      </c>
      <c r="G73" s="185">
        <f t="shared" si="9"/>
        <v>47896</v>
      </c>
      <c r="H73" s="183"/>
      <c r="I73" s="183"/>
      <c r="J73" s="183"/>
    </row>
    <row r="74" spans="1:10">
      <c r="A74" s="180">
        <f t="shared" si="3"/>
        <v>72</v>
      </c>
      <c r="B74" s="181">
        <f t="shared" si="4"/>
        <v>38.809485640814373</v>
      </c>
      <c r="C74" s="2"/>
      <c r="D74" s="181">
        <f t="shared" si="7"/>
        <v>0.35934708926680181</v>
      </c>
      <c r="E74" s="181">
        <f t="shared" si="1"/>
        <v>0.30192641896104239</v>
      </c>
      <c r="F74" s="181">
        <f t="shared" si="2"/>
        <v>0.66127350822784425</v>
      </c>
      <c r="G74" s="185">
        <f t="shared" si="9"/>
        <v>47927</v>
      </c>
      <c r="H74" s="181">
        <f>SUM(E63:E74)</f>
        <v>3.8059348591969955</v>
      </c>
      <c r="I74" s="181">
        <f>SUM(D63:D74)</f>
        <v>4.3121650712016208</v>
      </c>
      <c r="J74" s="181">
        <f>I74+H74</f>
        <v>8.1180999303986159</v>
      </c>
    </row>
    <row r="75" spans="1:10">
      <c r="A75" s="180">
        <f t="shared" si="3"/>
        <v>73</v>
      </c>
      <c r="B75" s="181">
        <f t="shared" si="4"/>
        <v>38.450138551547568</v>
      </c>
      <c r="C75" s="2"/>
      <c r="D75" s="181">
        <f t="shared" si="7"/>
        <v>0.35934708926680181</v>
      </c>
      <c r="E75" s="181">
        <f t="shared" si="1"/>
        <v>0.29915645181461076</v>
      </c>
      <c r="F75" s="181">
        <f t="shared" si="2"/>
        <v>0.65850354108141262</v>
      </c>
      <c r="G75" s="185">
        <f t="shared" si="9"/>
        <v>47958</v>
      </c>
      <c r="H75" s="183"/>
      <c r="I75" s="183"/>
      <c r="J75" s="183"/>
    </row>
    <row r="76" spans="1:10">
      <c r="A76" s="180">
        <f t="shared" si="3"/>
        <v>74</v>
      </c>
      <c r="B76" s="181">
        <f t="shared" si="4"/>
        <v>38.090791462280762</v>
      </c>
      <c r="C76" s="2"/>
      <c r="D76" s="181">
        <f t="shared" si="7"/>
        <v>0.35934708926680181</v>
      </c>
      <c r="E76" s="181">
        <f t="shared" si="1"/>
        <v>0.29638648466817913</v>
      </c>
      <c r="F76" s="181">
        <f t="shared" si="2"/>
        <v>0.655733573934981</v>
      </c>
      <c r="G76" s="185">
        <f t="shared" si="9"/>
        <v>47989</v>
      </c>
      <c r="H76" s="183"/>
      <c r="I76" s="183"/>
      <c r="J76" s="183"/>
    </row>
    <row r="77" spans="1:10">
      <c r="A77" s="180">
        <f t="shared" si="3"/>
        <v>75</v>
      </c>
      <c r="B77" s="181">
        <f t="shared" si="4"/>
        <v>37.731444373013957</v>
      </c>
      <c r="C77" s="2"/>
      <c r="D77" s="181">
        <f t="shared" si="7"/>
        <v>0.35934708926680181</v>
      </c>
      <c r="E77" s="181">
        <f t="shared" si="1"/>
        <v>0.29361651752174756</v>
      </c>
      <c r="F77" s="181">
        <f t="shared" si="2"/>
        <v>0.65296360678854937</v>
      </c>
      <c r="G77" s="185">
        <f t="shared" si="9"/>
        <v>48020</v>
      </c>
      <c r="H77" s="183"/>
      <c r="I77" s="183"/>
      <c r="J77" s="183"/>
    </row>
    <row r="78" spans="1:10">
      <c r="A78" s="180">
        <f t="shared" si="3"/>
        <v>76</v>
      </c>
      <c r="B78" s="181">
        <f t="shared" si="4"/>
        <v>37.372097283747152</v>
      </c>
      <c r="C78" s="2"/>
      <c r="D78" s="181">
        <f t="shared" si="7"/>
        <v>0.35934708926680181</v>
      </c>
      <c r="E78" s="181">
        <f t="shared" si="1"/>
        <v>0.29084655037531593</v>
      </c>
      <c r="F78" s="181">
        <f t="shared" si="2"/>
        <v>0.65019363964211774</v>
      </c>
      <c r="G78" s="185">
        <f t="shared" si="9"/>
        <v>48051</v>
      </c>
      <c r="H78" s="183"/>
      <c r="I78" s="183"/>
      <c r="J78" s="183"/>
    </row>
    <row r="79" spans="1:10">
      <c r="A79" s="180">
        <f t="shared" si="3"/>
        <v>77</v>
      </c>
      <c r="B79" s="181">
        <f t="shared" si="4"/>
        <v>37.012750194480347</v>
      </c>
      <c r="C79" s="2"/>
      <c r="D79" s="181">
        <f t="shared" si="7"/>
        <v>0.35934708926680181</v>
      </c>
      <c r="E79" s="181">
        <f t="shared" si="1"/>
        <v>0.2880765832288843</v>
      </c>
      <c r="F79" s="181">
        <f t="shared" si="2"/>
        <v>0.64742367249568611</v>
      </c>
      <c r="G79" s="185">
        <f t="shared" si="9"/>
        <v>48082</v>
      </c>
      <c r="H79" s="183"/>
      <c r="I79" s="183"/>
      <c r="J79" s="183"/>
    </row>
    <row r="80" spans="1:10">
      <c r="A80" s="180">
        <f t="shared" si="3"/>
        <v>78</v>
      </c>
      <c r="B80" s="181">
        <f t="shared" si="4"/>
        <v>36.653403105213542</v>
      </c>
      <c r="C80" s="2"/>
      <c r="D80" s="181">
        <f t="shared" si="7"/>
        <v>0.35934708926680181</v>
      </c>
      <c r="E80" s="181">
        <f t="shared" si="1"/>
        <v>0.28530661608245267</v>
      </c>
      <c r="F80" s="181">
        <f t="shared" si="2"/>
        <v>0.64465370534925448</v>
      </c>
      <c r="G80" s="185">
        <f t="shared" si="9"/>
        <v>48113</v>
      </c>
      <c r="H80" s="183"/>
      <c r="I80" s="183"/>
      <c r="J80" s="183"/>
    </row>
    <row r="81" spans="1:10">
      <c r="A81" s="180">
        <f t="shared" si="3"/>
        <v>79</v>
      </c>
      <c r="B81" s="181">
        <f t="shared" si="4"/>
        <v>36.294056015946737</v>
      </c>
      <c r="C81" s="2"/>
      <c r="D81" s="181">
        <f t="shared" si="7"/>
        <v>0.35934708926680181</v>
      </c>
      <c r="E81" s="181">
        <f t="shared" si="1"/>
        <v>0.28253664893602104</v>
      </c>
      <c r="F81" s="181">
        <f t="shared" si="2"/>
        <v>0.64188373820282285</v>
      </c>
      <c r="G81" s="185">
        <f t="shared" si="9"/>
        <v>48144</v>
      </c>
      <c r="H81" s="183"/>
      <c r="I81" s="183"/>
      <c r="J81" s="183"/>
    </row>
    <row r="82" spans="1:10">
      <c r="A82" s="180">
        <f t="shared" si="3"/>
        <v>80</v>
      </c>
      <c r="B82" s="181">
        <f t="shared" si="4"/>
        <v>35.934708926679932</v>
      </c>
      <c r="C82" s="2"/>
      <c r="D82" s="181">
        <f t="shared" si="7"/>
        <v>0.35934708926680181</v>
      </c>
      <c r="E82" s="181">
        <f t="shared" si="1"/>
        <v>0.27976668178958941</v>
      </c>
      <c r="F82" s="181">
        <f t="shared" si="2"/>
        <v>0.63911377105639122</v>
      </c>
      <c r="G82" s="185">
        <f t="shared" si="9"/>
        <v>48175</v>
      </c>
      <c r="H82" s="183"/>
      <c r="I82" s="183"/>
      <c r="J82" s="183"/>
    </row>
    <row r="83" spans="1:10">
      <c r="A83" s="180">
        <f t="shared" si="3"/>
        <v>81</v>
      </c>
      <c r="B83" s="181">
        <f t="shared" si="4"/>
        <v>35.575361837413126</v>
      </c>
      <c r="C83" s="2"/>
      <c r="D83" s="181">
        <f t="shared" si="7"/>
        <v>0.35934708926680181</v>
      </c>
      <c r="E83" s="181">
        <f t="shared" si="1"/>
        <v>0.27699671464315784</v>
      </c>
      <c r="F83" s="181">
        <f t="shared" si="2"/>
        <v>0.63634380390995959</v>
      </c>
      <c r="G83" s="185">
        <f t="shared" si="9"/>
        <v>48206</v>
      </c>
      <c r="H83" s="183"/>
      <c r="I83" s="183"/>
      <c r="J83" s="183"/>
    </row>
    <row r="84" spans="1:10">
      <c r="A84" s="180">
        <f t="shared" si="3"/>
        <v>82</v>
      </c>
      <c r="B84" s="181">
        <f t="shared" si="4"/>
        <v>35.216014748146321</v>
      </c>
      <c r="C84" s="2"/>
      <c r="D84" s="181">
        <f t="shared" si="7"/>
        <v>0.35934708926680181</v>
      </c>
      <c r="E84" s="181">
        <f t="shared" si="1"/>
        <v>0.27422674749672621</v>
      </c>
      <c r="F84" s="181">
        <f t="shared" si="2"/>
        <v>0.63357383676352796</v>
      </c>
      <c r="G84" s="185">
        <f t="shared" si="9"/>
        <v>48237</v>
      </c>
      <c r="H84" s="183"/>
      <c r="I84" s="183"/>
      <c r="J84" s="183"/>
    </row>
    <row r="85" spans="1:10">
      <c r="A85" s="180">
        <f t="shared" si="3"/>
        <v>83</v>
      </c>
      <c r="B85" s="181">
        <f t="shared" si="4"/>
        <v>34.856667658879516</v>
      </c>
      <c r="C85" s="2"/>
      <c r="D85" s="181">
        <f t="shared" si="7"/>
        <v>0.35934708926680181</v>
      </c>
      <c r="E85" s="181">
        <f t="shared" si="1"/>
        <v>0.27145678035029458</v>
      </c>
      <c r="F85" s="181">
        <f t="shared" si="2"/>
        <v>0.63080386961709634</v>
      </c>
      <c r="G85" s="185">
        <f t="shared" si="9"/>
        <v>48268</v>
      </c>
      <c r="H85" s="183"/>
      <c r="I85" s="183"/>
      <c r="J85" s="183"/>
    </row>
    <row r="86" spans="1:10">
      <c r="A86" s="180">
        <f t="shared" si="3"/>
        <v>84</v>
      </c>
      <c r="B86" s="181">
        <f t="shared" si="4"/>
        <v>34.497320569612711</v>
      </c>
      <c r="C86" s="2"/>
      <c r="D86" s="181">
        <f t="shared" si="7"/>
        <v>0.35934708926680181</v>
      </c>
      <c r="E86" s="181">
        <f t="shared" si="1"/>
        <v>0.26868681320386295</v>
      </c>
      <c r="F86" s="181">
        <f t="shared" si="2"/>
        <v>0.62803390247066471</v>
      </c>
      <c r="G86" s="185">
        <f t="shared" si="9"/>
        <v>48299</v>
      </c>
      <c r="H86" s="181">
        <f>SUM(E75:E86)</f>
        <v>3.4070595901108431</v>
      </c>
      <c r="I86" s="181">
        <f>SUM(D75:D86)</f>
        <v>4.3121650712016208</v>
      </c>
      <c r="J86" s="181">
        <f>I86+H86</f>
        <v>7.719224661312464</v>
      </c>
    </row>
    <row r="87" spans="1:10">
      <c r="A87" s="180">
        <f t="shared" si="3"/>
        <v>85</v>
      </c>
      <c r="B87" s="181">
        <f t="shared" si="4"/>
        <v>34.137973480345906</v>
      </c>
      <c r="C87" s="2"/>
      <c r="D87" s="181">
        <f t="shared" si="7"/>
        <v>0.35934708926680181</v>
      </c>
      <c r="E87" s="181">
        <f t="shared" si="1"/>
        <v>0.26591684605743132</v>
      </c>
      <c r="F87" s="181">
        <f t="shared" si="2"/>
        <v>0.62526393532423308</v>
      </c>
      <c r="G87" s="185">
        <f t="shared" si="9"/>
        <v>48330</v>
      </c>
      <c r="H87" s="183"/>
      <c r="I87" s="183"/>
      <c r="J87" s="183"/>
    </row>
    <row r="88" spans="1:10">
      <c r="A88" s="180">
        <f t="shared" si="3"/>
        <v>86</v>
      </c>
      <c r="B88" s="181">
        <f t="shared" si="4"/>
        <v>33.778626391079101</v>
      </c>
      <c r="C88" s="2"/>
      <c r="D88" s="181">
        <f t="shared" si="7"/>
        <v>0.35934708926680181</v>
      </c>
      <c r="E88" s="181">
        <f t="shared" si="1"/>
        <v>0.26314687891099969</v>
      </c>
      <c r="F88" s="181">
        <f t="shared" si="2"/>
        <v>0.62249396817780145</v>
      </c>
      <c r="G88" s="185">
        <f>G87+20</f>
        <v>48350</v>
      </c>
      <c r="H88" s="183"/>
      <c r="I88" s="183"/>
      <c r="J88" s="183"/>
    </row>
    <row r="89" spans="1:10">
      <c r="A89" s="180">
        <f t="shared" si="3"/>
        <v>87</v>
      </c>
      <c r="B89" s="181">
        <f t="shared" si="4"/>
        <v>33.419279301812296</v>
      </c>
      <c r="C89" s="2"/>
      <c r="D89" s="181">
        <f t="shared" si="7"/>
        <v>0.35934708926680181</v>
      </c>
      <c r="E89" s="181">
        <f t="shared" si="1"/>
        <v>0.26037691176456806</v>
      </c>
      <c r="F89" s="181">
        <f t="shared" si="2"/>
        <v>0.61972400103136982</v>
      </c>
      <c r="G89" s="185">
        <f t="shared" ref="G89:G106" si="10">G88+31</f>
        <v>48381</v>
      </c>
      <c r="H89" s="183"/>
      <c r="I89" s="183"/>
      <c r="J89" s="183"/>
    </row>
    <row r="90" spans="1:10">
      <c r="A90" s="180">
        <f t="shared" si="3"/>
        <v>88</v>
      </c>
      <c r="B90" s="181">
        <f t="shared" si="4"/>
        <v>33.05993221254549</v>
      </c>
      <c r="C90" s="2"/>
      <c r="D90" s="181">
        <f t="shared" si="7"/>
        <v>0.35934708926680181</v>
      </c>
      <c r="E90" s="181">
        <f t="shared" si="1"/>
        <v>0.25760694461813644</v>
      </c>
      <c r="F90" s="181">
        <f t="shared" si="2"/>
        <v>0.61695403388493819</v>
      </c>
      <c r="G90" s="185">
        <f t="shared" si="10"/>
        <v>48412</v>
      </c>
      <c r="H90" s="183"/>
      <c r="I90" s="183"/>
      <c r="J90" s="183"/>
    </row>
    <row r="91" spans="1:10">
      <c r="A91" s="180">
        <f t="shared" si="3"/>
        <v>89</v>
      </c>
      <c r="B91" s="181">
        <f t="shared" si="4"/>
        <v>32.700585123278685</v>
      </c>
      <c r="C91" s="2"/>
      <c r="D91" s="181">
        <f t="shared" si="7"/>
        <v>0.35934708926680181</v>
      </c>
      <c r="E91" s="181">
        <f t="shared" si="1"/>
        <v>0.25483697747170481</v>
      </c>
      <c r="F91" s="181">
        <f t="shared" si="2"/>
        <v>0.61418406673850656</v>
      </c>
      <c r="G91" s="185">
        <f t="shared" si="10"/>
        <v>48443</v>
      </c>
      <c r="H91" s="183"/>
      <c r="I91" s="183"/>
      <c r="J91" s="183"/>
    </row>
    <row r="92" spans="1:10">
      <c r="A92" s="180">
        <f t="shared" si="3"/>
        <v>90</v>
      </c>
      <c r="B92" s="181">
        <f t="shared" si="4"/>
        <v>32.34123803401188</v>
      </c>
      <c r="C92" s="2"/>
      <c r="D92" s="181">
        <f t="shared" si="7"/>
        <v>0.35934708926680181</v>
      </c>
      <c r="E92" s="181">
        <f t="shared" si="1"/>
        <v>0.25206701032527318</v>
      </c>
      <c r="F92" s="181">
        <f t="shared" si="2"/>
        <v>0.61141409959207493</v>
      </c>
      <c r="G92" s="185">
        <f t="shared" si="10"/>
        <v>48474</v>
      </c>
      <c r="H92" s="183"/>
      <c r="I92" s="183"/>
      <c r="J92" s="183"/>
    </row>
    <row r="93" spans="1:10">
      <c r="A93" s="180">
        <f t="shared" si="3"/>
        <v>91</v>
      </c>
      <c r="B93" s="181">
        <f t="shared" si="4"/>
        <v>31.981890944745079</v>
      </c>
      <c r="C93" s="2"/>
      <c r="D93" s="181">
        <f t="shared" si="7"/>
        <v>0.35934708926680181</v>
      </c>
      <c r="E93" s="181">
        <f t="shared" si="1"/>
        <v>0.24929704317884158</v>
      </c>
      <c r="F93" s="181">
        <f t="shared" si="2"/>
        <v>0.60864413244564342</v>
      </c>
      <c r="G93" s="185">
        <f t="shared" si="10"/>
        <v>48505</v>
      </c>
      <c r="H93" s="183"/>
      <c r="I93" s="183"/>
      <c r="J93" s="183"/>
    </row>
    <row r="94" spans="1:10">
      <c r="A94" s="180">
        <f t="shared" si="3"/>
        <v>92</v>
      </c>
      <c r="B94" s="181">
        <f t="shared" si="4"/>
        <v>31.622543855478277</v>
      </c>
      <c r="C94" s="2"/>
      <c r="D94" s="181">
        <f t="shared" si="7"/>
        <v>0.35934708926680181</v>
      </c>
      <c r="E94" s="181">
        <f t="shared" si="1"/>
        <v>0.24652707603240998</v>
      </c>
      <c r="F94" s="181">
        <f t="shared" si="2"/>
        <v>0.60587416529921179</v>
      </c>
      <c r="G94" s="185">
        <f t="shared" si="10"/>
        <v>48536</v>
      </c>
      <c r="H94" s="183"/>
      <c r="I94" s="183"/>
      <c r="J94" s="183"/>
    </row>
    <row r="95" spans="1:10">
      <c r="A95" s="180">
        <f t="shared" si="3"/>
        <v>93</v>
      </c>
      <c r="B95" s="181">
        <f t="shared" si="4"/>
        <v>31.263196766211475</v>
      </c>
      <c r="C95" s="2"/>
      <c r="D95" s="181">
        <f t="shared" si="7"/>
        <v>0.35934708926680181</v>
      </c>
      <c r="E95" s="181">
        <f t="shared" si="1"/>
        <v>0.24375710888597837</v>
      </c>
      <c r="F95" s="181">
        <f t="shared" si="2"/>
        <v>0.60310419815278016</v>
      </c>
      <c r="G95" s="185">
        <f t="shared" si="10"/>
        <v>48567</v>
      </c>
      <c r="H95" s="183"/>
      <c r="I95" s="183"/>
      <c r="J95" s="183"/>
    </row>
    <row r="96" spans="1:10">
      <c r="A96" s="180">
        <f t="shared" si="3"/>
        <v>94</v>
      </c>
      <c r="B96" s="181">
        <f t="shared" si="4"/>
        <v>30.903849676944674</v>
      </c>
      <c r="C96" s="2"/>
      <c r="D96" s="181">
        <f t="shared" si="7"/>
        <v>0.35934708926680181</v>
      </c>
      <c r="E96" s="181">
        <f t="shared" si="1"/>
        <v>0.2409871417395468</v>
      </c>
      <c r="F96" s="181">
        <f t="shared" si="2"/>
        <v>0.60033423100634864</v>
      </c>
      <c r="G96" s="185">
        <f t="shared" si="10"/>
        <v>48598</v>
      </c>
      <c r="H96" s="183"/>
      <c r="I96" s="183"/>
      <c r="J96" s="183"/>
    </row>
    <row r="97" spans="1:10">
      <c r="A97" s="180">
        <f t="shared" si="3"/>
        <v>95</v>
      </c>
      <c r="B97" s="181">
        <f t="shared" si="4"/>
        <v>30.544502587677872</v>
      </c>
      <c r="C97" s="2"/>
      <c r="D97" s="181">
        <f t="shared" si="7"/>
        <v>0.35934708926680181</v>
      </c>
      <c r="E97" s="181">
        <f t="shared" si="1"/>
        <v>0.2382171745931152</v>
      </c>
      <c r="F97" s="181">
        <f t="shared" si="2"/>
        <v>0.59756426385991701</v>
      </c>
      <c r="G97" s="185">
        <f t="shared" si="10"/>
        <v>48629</v>
      </c>
      <c r="H97" s="183"/>
      <c r="I97" s="183"/>
      <c r="J97" s="183"/>
    </row>
    <row r="98" spans="1:10">
      <c r="A98" s="180">
        <f t="shared" si="3"/>
        <v>96</v>
      </c>
      <c r="B98" s="181">
        <f t="shared" si="4"/>
        <v>30.185155498411071</v>
      </c>
      <c r="C98" s="2"/>
      <c r="D98" s="181">
        <f t="shared" si="7"/>
        <v>0.35934708926680181</v>
      </c>
      <c r="E98" s="181">
        <f t="shared" si="1"/>
        <v>0.2354472074466836</v>
      </c>
      <c r="F98" s="181">
        <f t="shared" si="2"/>
        <v>0.59479429671348538</v>
      </c>
      <c r="G98" s="185">
        <f t="shared" si="10"/>
        <v>48660</v>
      </c>
      <c r="H98" s="181">
        <f>SUM(E87:E98)</f>
        <v>3.008184321024689</v>
      </c>
      <c r="I98" s="181">
        <f>SUM(D87:D98)</f>
        <v>4.3121650712016208</v>
      </c>
      <c r="J98" s="181">
        <f>I98+H98</f>
        <v>7.3203493922263103</v>
      </c>
    </row>
    <row r="99" spans="1:10">
      <c r="A99" s="180">
        <f t="shared" si="3"/>
        <v>97</v>
      </c>
      <c r="B99" s="181">
        <f t="shared" si="4"/>
        <v>29.825808409144269</v>
      </c>
      <c r="C99" s="2"/>
      <c r="D99" s="181">
        <f t="shared" si="7"/>
        <v>0.35934708926680181</v>
      </c>
      <c r="E99" s="181">
        <f t="shared" si="1"/>
        <v>0.23267724030025203</v>
      </c>
      <c r="F99" s="181">
        <f t="shared" si="2"/>
        <v>0.59202432956705386</v>
      </c>
      <c r="G99" s="185">
        <f t="shared" si="10"/>
        <v>48691</v>
      </c>
      <c r="H99" s="183"/>
      <c r="I99" s="183"/>
      <c r="J99" s="183"/>
    </row>
    <row r="100" spans="1:10">
      <c r="A100" s="180">
        <f t="shared" si="3"/>
        <v>98</v>
      </c>
      <c r="B100" s="181">
        <f t="shared" si="4"/>
        <v>29.466461319877467</v>
      </c>
      <c r="C100" s="2"/>
      <c r="D100" s="181">
        <f t="shared" si="7"/>
        <v>0.35934708926680181</v>
      </c>
      <c r="E100" s="181">
        <f t="shared" si="1"/>
        <v>0.2299072731538204</v>
      </c>
      <c r="F100" s="181">
        <f t="shared" si="2"/>
        <v>0.58925436242062224</v>
      </c>
      <c r="G100" s="185">
        <f t="shared" si="10"/>
        <v>48722</v>
      </c>
      <c r="H100" s="183"/>
      <c r="I100" s="183"/>
      <c r="J100" s="183"/>
    </row>
    <row r="101" spans="1:10">
      <c r="A101" s="180">
        <f t="shared" si="3"/>
        <v>99</v>
      </c>
      <c r="B101" s="181">
        <f t="shared" si="4"/>
        <v>29.107114230610666</v>
      </c>
      <c r="C101" s="2"/>
      <c r="D101" s="181">
        <f t="shared" si="7"/>
        <v>0.35934708926680181</v>
      </c>
      <c r="E101" s="181">
        <f t="shared" si="1"/>
        <v>0.2271373060073888</v>
      </c>
      <c r="F101" s="181">
        <f t="shared" si="2"/>
        <v>0.58648439527419061</v>
      </c>
      <c r="G101" s="185">
        <f t="shared" si="10"/>
        <v>48753</v>
      </c>
      <c r="H101" s="183"/>
      <c r="I101" s="183"/>
      <c r="J101" s="183"/>
    </row>
    <row r="102" spans="1:10">
      <c r="A102" s="180">
        <f t="shared" si="3"/>
        <v>100</v>
      </c>
      <c r="B102" s="181">
        <f t="shared" si="4"/>
        <v>28.747767141343864</v>
      </c>
      <c r="C102" s="2"/>
      <c r="D102" s="181">
        <f t="shared" si="7"/>
        <v>0.35934708926680181</v>
      </c>
      <c r="E102" s="181">
        <f t="shared" si="1"/>
        <v>0.22436733886095719</v>
      </c>
      <c r="F102" s="181">
        <f t="shared" si="2"/>
        <v>0.58371442812775898</v>
      </c>
      <c r="G102" s="185">
        <f t="shared" si="10"/>
        <v>48784</v>
      </c>
      <c r="H102" s="183"/>
      <c r="I102" s="183"/>
      <c r="J102" s="183"/>
    </row>
    <row r="103" spans="1:10">
      <c r="A103" s="180">
        <f t="shared" si="3"/>
        <v>101</v>
      </c>
      <c r="B103" s="181">
        <f t="shared" si="4"/>
        <v>28.388420052077063</v>
      </c>
      <c r="C103" s="2"/>
      <c r="D103" s="181">
        <f t="shared" si="7"/>
        <v>0.35934708926680181</v>
      </c>
      <c r="E103" s="181">
        <f t="shared" si="1"/>
        <v>0.22159737171452562</v>
      </c>
      <c r="F103" s="181">
        <f t="shared" si="2"/>
        <v>0.58094446098132746</v>
      </c>
      <c r="G103" s="185">
        <f t="shared" si="10"/>
        <v>48815</v>
      </c>
      <c r="H103" s="183"/>
      <c r="I103" s="183"/>
      <c r="J103" s="183"/>
    </row>
    <row r="104" spans="1:10">
      <c r="A104" s="180">
        <f t="shared" si="3"/>
        <v>102</v>
      </c>
      <c r="B104" s="181">
        <f t="shared" si="4"/>
        <v>28.029072962810261</v>
      </c>
      <c r="C104" s="2"/>
      <c r="D104" s="181">
        <f t="shared" si="7"/>
        <v>0.35934708926680181</v>
      </c>
      <c r="E104" s="181">
        <f t="shared" si="1"/>
        <v>0.21882740456809402</v>
      </c>
      <c r="F104" s="181">
        <f t="shared" si="2"/>
        <v>0.57817449383489583</v>
      </c>
      <c r="G104" s="185">
        <f t="shared" si="10"/>
        <v>48846</v>
      </c>
      <c r="H104" s="183"/>
      <c r="I104" s="183"/>
      <c r="J104" s="183"/>
    </row>
    <row r="105" spans="1:10">
      <c r="A105" s="180">
        <f t="shared" si="3"/>
        <v>103</v>
      </c>
      <c r="B105" s="181">
        <f t="shared" si="4"/>
        <v>27.669725873543459</v>
      </c>
      <c r="C105" s="2"/>
      <c r="D105" s="181">
        <f t="shared" si="7"/>
        <v>0.35934708926680181</v>
      </c>
      <c r="E105" s="181">
        <f t="shared" si="1"/>
        <v>0.21605743742166242</v>
      </c>
      <c r="F105" s="181">
        <f t="shared" si="2"/>
        <v>0.5754045266884642</v>
      </c>
      <c r="G105" s="185">
        <f t="shared" si="10"/>
        <v>48877</v>
      </c>
      <c r="H105" s="183"/>
      <c r="I105" s="183"/>
      <c r="J105" s="183"/>
    </row>
    <row r="106" spans="1:10">
      <c r="A106" s="180">
        <f t="shared" si="3"/>
        <v>104</v>
      </c>
      <c r="B106" s="181">
        <f t="shared" si="4"/>
        <v>27.310378784276658</v>
      </c>
      <c r="C106" s="2"/>
      <c r="D106" s="181">
        <f t="shared" si="7"/>
        <v>0.35934708926680181</v>
      </c>
      <c r="E106" s="181">
        <f t="shared" si="1"/>
        <v>0.21328747027523084</v>
      </c>
      <c r="F106" s="181">
        <f t="shared" si="2"/>
        <v>0.57263455954203268</v>
      </c>
      <c r="G106" s="185">
        <f t="shared" si="10"/>
        <v>48908</v>
      </c>
      <c r="H106" s="183"/>
      <c r="I106" s="183"/>
      <c r="J106" s="183"/>
    </row>
    <row r="107" spans="1:10">
      <c r="A107" s="180">
        <f t="shared" si="3"/>
        <v>105</v>
      </c>
      <c r="B107" s="181">
        <f t="shared" si="4"/>
        <v>26.951031695009856</v>
      </c>
      <c r="C107" s="2"/>
      <c r="D107" s="181">
        <f t="shared" si="7"/>
        <v>0.35934708926680181</v>
      </c>
      <c r="E107" s="181">
        <f t="shared" si="1"/>
        <v>0.21051750312879924</v>
      </c>
      <c r="F107" s="181">
        <f t="shared" si="2"/>
        <v>0.56986459239560106</v>
      </c>
      <c r="G107" s="185">
        <f>G106+20</f>
        <v>48928</v>
      </c>
      <c r="H107" s="183"/>
      <c r="I107" s="183"/>
      <c r="J107" s="183"/>
    </row>
    <row r="108" spans="1:10">
      <c r="A108" s="180">
        <f t="shared" si="3"/>
        <v>106</v>
      </c>
      <c r="B108" s="181">
        <f t="shared" si="4"/>
        <v>26.591684605743055</v>
      </c>
      <c r="C108" s="2"/>
      <c r="D108" s="181">
        <f t="shared" si="7"/>
        <v>0.35934708926680181</v>
      </c>
      <c r="E108" s="181">
        <f t="shared" si="1"/>
        <v>0.20774753598236764</v>
      </c>
      <c r="F108" s="181">
        <f t="shared" si="2"/>
        <v>0.56709462524916943</v>
      </c>
      <c r="G108" s="185">
        <f t="shared" ref="G108:G123" si="11">G107+31</f>
        <v>48959</v>
      </c>
      <c r="H108" s="183"/>
      <c r="I108" s="183"/>
      <c r="J108" s="183"/>
    </row>
    <row r="109" spans="1:10">
      <c r="A109" s="180">
        <f t="shared" si="3"/>
        <v>107</v>
      </c>
      <c r="B109" s="181">
        <f t="shared" si="4"/>
        <v>26.232337516476253</v>
      </c>
      <c r="C109" s="2"/>
      <c r="D109" s="181">
        <f t="shared" si="7"/>
        <v>0.35934708926680181</v>
      </c>
      <c r="E109" s="181">
        <f t="shared" si="1"/>
        <v>0.20497756883593607</v>
      </c>
      <c r="F109" s="181">
        <f t="shared" si="2"/>
        <v>0.56432465810273791</v>
      </c>
      <c r="G109" s="185">
        <f t="shared" si="11"/>
        <v>48990</v>
      </c>
      <c r="H109" s="183"/>
      <c r="I109" s="183"/>
      <c r="J109" s="183"/>
    </row>
    <row r="110" spans="1:10">
      <c r="A110" s="180">
        <f t="shared" si="3"/>
        <v>108</v>
      </c>
      <c r="B110" s="181">
        <f t="shared" si="4"/>
        <v>25.872990427209452</v>
      </c>
      <c r="C110" s="2"/>
      <c r="D110" s="181">
        <f t="shared" si="7"/>
        <v>0.35934708926680181</v>
      </c>
      <c r="E110" s="181">
        <f t="shared" si="1"/>
        <v>0.20220760168950444</v>
      </c>
      <c r="F110" s="181">
        <f t="shared" si="2"/>
        <v>0.56155469095630628</v>
      </c>
      <c r="G110" s="185">
        <f t="shared" si="11"/>
        <v>49021</v>
      </c>
      <c r="H110" s="181">
        <f>SUM(E99:E110)</f>
        <v>2.6093090519385385</v>
      </c>
      <c r="I110" s="181">
        <f>SUM(D99:D110)</f>
        <v>4.3121650712016208</v>
      </c>
      <c r="J110" s="181">
        <f>I110+H110</f>
        <v>6.9214741231401593</v>
      </c>
    </row>
    <row r="111" spans="1:10">
      <c r="A111" s="180">
        <f t="shared" si="3"/>
        <v>109</v>
      </c>
      <c r="B111" s="181">
        <f t="shared" si="4"/>
        <v>25.51364333794265</v>
      </c>
      <c r="C111" s="2"/>
      <c r="D111" s="181">
        <f t="shared" si="7"/>
        <v>0.35934708926680181</v>
      </c>
      <c r="E111" s="181">
        <f t="shared" si="1"/>
        <v>0.19943763454307284</v>
      </c>
      <c r="F111" s="181">
        <f t="shared" si="2"/>
        <v>0.55878472380987465</v>
      </c>
      <c r="G111" s="185">
        <f t="shared" si="11"/>
        <v>49052</v>
      </c>
      <c r="H111" s="183"/>
      <c r="I111" s="183"/>
      <c r="J111" s="183"/>
    </row>
    <row r="112" spans="1:10">
      <c r="A112" s="180">
        <f t="shared" si="3"/>
        <v>110</v>
      </c>
      <c r="B112" s="181">
        <f t="shared" si="4"/>
        <v>25.154296248675848</v>
      </c>
      <c r="C112" s="2"/>
      <c r="D112" s="181">
        <f t="shared" si="7"/>
        <v>0.35934708926680181</v>
      </c>
      <c r="E112" s="181">
        <f t="shared" si="1"/>
        <v>0.19666766739664124</v>
      </c>
      <c r="F112" s="181">
        <f t="shared" si="2"/>
        <v>0.55601475666344302</v>
      </c>
      <c r="G112" s="185">
        <f t="shared" si="11"/>
        <v>49083</v>
      </c>
      <c r="H112" s="183"/>
      <c r="I112" s="183"/>
      <c r="J112" s="183"/>
    </row>
    <row r="113" spans="1:10">
      <c r="A113" s="180">
        <f t="shared" si="3"/>
        <v>111</v>
      </c>
      <c r="B113" s="181">
        <f t="shared" si="4"/>
        <v>24.794949159409047</v>
      </c>
      <c r="C113" s="2"/>
      <c r="D113" s="181">
        <f t="shared" si="7"/>
        <v>0.35934708926680181</v>
      </c>
      <c r="E113" s="181">
        <f t="shared" si="1"/>
        <v>0.19389770025020966</v>
      </c>
      <c r="F113" s="181">
        <f t="shared" si="2"/>
        <v>0.5532447895170115</v>
      </c>
      <c r="G113" s="185">
        <f t="shared" si="11"/>
        <v>49114</v>
      </c>
      <c r="H113" s="183"/>
      <c r="I113" s="183"/>
      <c r="J113" s="183"/>
    </row>
    <row r="114" spans="1:10">
      <c r="A114" s="180">
        <f t="shared" si="3"/>
        <v>112</v>
      </c>
      <c r="B114" s="181">
        <f t="shared" si="4"/>
        <v>24.435602070142245</v>
      </c>
      <c r="C114" s="2"/>
      <c r="D114" s="181">
        <f t="shared" si="7"/>
        <v>0.35934708926680181</v>
      </c>
      <c r="E114" s="181">
        <f t="shared" si="1"/>
        <v>0.19112773310377806</v>
      </c>
      <c r="F114" s="181">
        <f t="shared" si="2"/>
        <v>0.55047482237057987</v>
      </c>
      <c r="G114" s="185">
        <f t="shared" si="11"/>
        <v>49145</v>
      </c>
      <c r="H114" s="183"/>
      <c r="I114" s="183"/>
      <c r="J114" s="183"/>
    </row>
    <row r="115" spans="1:10">
      <c r="A115" s="180">
        <f t="shared" si="3"/>
        <v>113</v>
      </c>
      <c r="B115" s="181">
        <f t="shared" si="4"/>
        <v>24.076254980875444</v>
      </c>
      <c r="C115" s="2"/>
      <c r="D115" s="181">
        <f t="shared" si="7"/>
        <v>0.35934708926680181</v>
      </c>
      <c r="E115" s="181">
        <f t="shared" si="1"/>
        <v>0.18835776595734646</v>
      </c>
      <c r="F115" s="181">
        <f t="shared" si="2"/>
        <v>0.54770485522414825</v>
      </c>
      <c r="G115" s="185">
        <f t="shared" si="11"/>
        <v>49176</v>
      </c>
      <c r="H115" s="183"/>
      <c r="I115" s="183"/>
      <c r="J115" s="183"/>
    </row>
    <row r="116" spans="1:10">
      <c r="A116" s="180">
        <f t="shared" si="3"/>
        <v>114</v>
      </c>
      <c r="B116" s="181">
        <f t="shared" si="4"/>
        <v>23.716907891608642</v>
      </c>
      <c r="C116" s="2"/>
      <c r="D116" s="181">
        <f t="shared" si="7"/>
        <v>0.35934708926680181</v>
      </c>
      <c r="E116" s="181">
        <f t="shared" si="1"/>
        <v>0.18558779881091489</v>
      </c>
      <c r="F116" s="181">
        <f t="shared" si="2"/>
        <v>0.54493488807771673</v>
      </c>
      <c r="G116" s="185">
        <f t="shared" si="11"/>
        <v>49207</v>
      </c>
      <c r="H116" s="183"/>
      <c r="I116" s="183"/>
      <c r="J116" s="183"/>
    </row>
    <row r="117" spans="1:10">
      <c r="A117" s="180">
        <f t="shared" si="3"/>
        <v>115</v>
      </c>
      <c r="B117" s="181">
        <f t="shared" si="4"/>
        <v>23.35756080234184</v>
      </c>
      <c r="C117" s="2"/>
      <c r="D117" s="181">
        <f t="shared" si="7"/>
        <v>0.35934708926680181</v>
      </c>
      <c r="E117" s="181">
        <f t="shared" si="1"/>
        <v>0.18281783166448329</v>
      </c>
      <c r="F117" s="181">
        <f t="shared" si="2"/>
        <v>0.5421649209312851</v>
      </c>
      <c r="G117" s="185">
        <f t="shared" si="11"/>
        <v>49238</v>
      </c>
      <c r="H117" s="183"/>
      <c r="I117" s="183"/>
      <c r="J117" s="183"/>
    </row>
    <row r="118" spans="1:10">
      <c r="A118" s="180">
        <f t="shared" si="3"/>
        <v>116</v>
      </c>
      <c r="B118" s="181">
        <f t="shared" si="4"/>
        <v>22.998213713075039</v>
      </c>
      <c r="C118" s="2"/>
      <c r="D118" s="181">
        <f t="shared" si="7"/>
        <v>0.35934708926680181</v>
      </c>
      <c r="E118" s="181">
        <f t="shared" si="1"/>
        <v>0.18004786451805169</v>
      </c>
      <c r="F118" s="181">
        <f t="shared" si="2"/>
        <v>0.53939495378485347</v>
      </c>
      <c r="G118" s="185">
        <f t="shared" si="11"/>
        <v>49269</v>
      </c>
      <c r="H118" s="183"/>
      <c r="I118" s="183"/>
      <c r="J118" s="183"/>
    </row>
    <row r="119" spans="1:10">
      <c r="A119" s="180">
        <f t="shared" si="3"/>
        <v>117</v>
      </c>
      <c r="B119" s="181">
        <f t="shared" si="4"/>
        <v>22.638866623808237</v>
      </c>
      <c r="C119" s="2"/>
      <c r="D119" s="181">
        <f t="shared" si="7"/>
        <v>0.35934708926680181</v>
      </c>
      <c r="E119" s="181">
        <f t="shared" si="1"/>
        <v>0.17727789737162011</v>
      </c>
      <c r="F119" s="181">
        <f t="shared" si="2"/>
        <v>0.53662498663842195</v>
      </c>
      <c r="G119" s="185">
        <f t="shared" si="11"/>
        <v>49300</v>
      </c>
      <c r="H119" s="183"/>
      <c r="I119" s="183"/>
      <c r="J119" s="183"/>
    </row>
    <row r="120" spans="1:10">
      <c r="A120" s="180">
        <f t="shared" si="3"/>
        <v>118</v>
      </c>
      <c r="B120" s="181">
        <f t="shared" si="4"/>
        <v>22.279519534541436</v>
      </c>
      <c r="C120" s="2"/>
      <c r="D120" s="181">
        <f t="shared" si="7"/>
        <v>0.35934708926680181</v>
      </c>
      <c r="E120" s="181">
        <f t="shared" si="1"/>
        <v>0.17450793022518848</v>
      </c>
      <c r="F120" s="181">
        <f t="shared" si="2"/>
        <v>0.53385501949199032</v>
      </c>
      <c r="G120" s="185">
        <f t="shared" si="11"/>
        <v>49331</v>
      </c>
      <c r="H120" s="183"/>
      <c r="I120" s="183"/>
      <c r="J120" s="183"/>
    </row>
    <row r="121" spans="1:10">
      <c r="A121" s="180">
        <f t="shared" si="3"/>
        <v>119</v>
      </c>
      <c r="B121" s="181">
        <f t="shared" si="4"/>
        <v>21.920172445274634</v>
      </c>
      <c r="C121" s="2"/>
      <c r="D121" s="181">
        <f t="shared" si="7"/>
        <v>0.35934708926680181</v>
      </c>
      <c r="E121" s="181">
        <f t="shared" si="1"/>
        <v>0.17173796307875688</v>
      </c>
      <c r="F121" s="181">
        <f t="shared" si="2"/>
        <v>0.53108505234555869</v>
      </c>
      <c r="G121" s="185">
        <f t="shared" si="11"/>
        <v>49362</v>
      </c>
      <c r="H121" s="183"/>
      <c r="I121" s="183"/>
      <c r="J121" s="183"/>
    </row>
    <row r="122" spans="1:10">
      <c r="A122" s="180">
        <f t="shared" si="3"/>
        <v>120</v>
      </c>
      <c r="B122" s="181">
        <f t="shared" si="4"/>
        <v>21.560825356007832</v>
      </c>
      <c r="C122" s="2"/>
      <c r="D122" s="181">
        <f t="shared" si="7"/>
        <v>0.35934708926680181</v>
      </c>
      <c r="E122" s="181">
        <f t="shared" si="1"/>
        <v>0.16896799593232528</v>
      </c>
      <c r="F122" s="181">
        <f t="shared" si="2"/>
        <v>0.52831508519912707</v>
      </c>
      <c r="G122" s="185">
        <f t="shared" si="11"/>
        <v>49393</v>
      </c>
      <c r="H122" s="181">
        <f>SUM(E111:E122)</f>
        <v>2.2104337828523888</v>
      </c>
      <c r="I122" s="181">
        <f>SUM(D111:D122)</f>
        <v>4.3121650712016208</v>
      </c>
      <c r="J122" s="181">
        <f>I122+H122</f>
        <v>6.5225988540540101</v>
      </c>
    </row>
    <row r="123" spans="1:10">
      <c r="A123" s="180">
        <f t="shared" si="3"/>
        <v>121</v>
      </c>
      <c r="B123" s="181">
        <f t="shared" si="4"/>
        <v>21.201478266741031</v>
      </c>
      <c r="C123" s="2"/>
      <c r="D123" s="181">
        <f t="shared" si="7"/>
        <v>0.35934708926680181</v>
      </c>
      <c r="E123" s="181">
        <f t="shared" si="1"/>
        <v>0.16619802878589371</v>
      </c>
      <c r="F123" s="181">
        <f t="shared" si="2"/>
        <v>0.52554511805269555</v>
      </c>
      <c r="G123" s="185">
        <f t="shared" si="11"/>
        <v>49424</v>
      </c>
      <c r="H123" s="183"/>
      <c r="I123" s="183"/>
      <c r="J123" s="183"/>
    </row>
    <row r="124" spans="1:10">
      <c r="A124" s="180">
        <f t="shared" si="3"/>
        <v>122</v>
      </c>
      <c r="B124" s="181">
        <f t="shared" si="4"/>
        <v>20.842131177474229</v>
      </c>
      <c r="C124" s="2"/>
      <c r="D124" s="181">
        <f t="shared" si="7"/>
        <v>0.35934708926680181</v>
      </c>
      <c r="E124" s="181">
        <f t="shared" si="1"/>
        <v>0.16342806163946211</v>
      </c>
      <c r="F124" s="181">
        <f t="shared" si="2"/>
        <v>0.52277515090626392</v>
      </c>
      <c r="G124" s="185">
        <f>G123+14</f>
        <v>49438</v>
      </c>
      <c r="H124" s="183"/>
      <c r="I124" s="183"/>
      <c r="J124" s="183"/>
    </row>
    <row r="125" spans="1:10">
      <c r="A125" s="180">
        <f t="shared" si="3"/>
        <v>123</v>
      </c>
      <c r="B125" s="181">
        <f t="shared" si="4"/>
        <v>20.482784088207428</v>
      </c>
      <c r="C125" s="2"/>
      <c r="D125" s="181">
        <f t="shared" si="7"/>
        <v>0.35934708926680181</v>
      </c>
      <c r="E125" s="181">
        <f t="shared" si="1"/>
        <v>0.16065809449303051</v>
      </c>
      <c r="F125" s="181">
        <f t="shared" si="2"/>
        <v>0.52000518375983229</v>
      </c>
      <c r="G125" s="185">
        <f t="shared" ref="G125:G156" si="12">G124+31</f>
        <v>49469</v>
      </c>
      <c r="H125" s="183"/>
      <c r="I125" s="183"/>
      <c r="J125" s="183"/>
    </row>
    <row r="126" spans="1:10">
      <c r="A126" s="180">
        <f t="shared" si="3"/>
        <v>124</v>
      </c>
      <c r="B126" s="181">
        <f t="shared" si="4"/>
        <v>20.123436998940626</v>
      </c>
      <c r="C126" s="2"/>
      <c r="D126" s="181">
        <f t="shared" si="7"/>
        <v>0.35934708926680181</v>
      </c>
      <c r="E126" s="181">
        <f t="shared" si="1"/>
        <v>0.15788812734659893</v>
      </c>
      <c r="F126" s="181">
        <f t="shared" si="2"/>
        <v>0.51723521661340077</v>
      </c>
      <c r="G126" s="185">
        <f t="shared" si="12"/>
        <v>49500</v>
      </c>
      <c r="H126" s="183"/>
      <c r="I126" s="183"/>
      <c r="J126" s="183"/>
    </row>
    <row r="127" spans="1:10">
      <c r="A127" s="180">
        <f t="shared" si="3"/>
        <v>125</v>
      </c>
      <c r="B127" s="181">
        <f t="shared" si="4"/>
        <v>19.764089909673825</v>
      </c>
      <c r="C127" s="2"/>
      <c r="D127" s="181">
        <f t="shared" si="7"/>
        <v>0.35934708926680181</v>
      </c>
      <c r="E127" s="181">
        <f t="shared" si="1"/>
        <v>0.15511816020016733</v>
      </c>
      <c r="F127" s="181">
        <f t="shared" si="2"/>
        <v>0.51446524946696914</v>
      </c>
      <c r="G127" s="185">
        <f t="shared" si="12"/>
        <v>49531</v>
      </c>
      <c r="H127" s="183"/>
      <c r="I127" s="183"/>
      <c r="J127" s="183"/>
    </row>
    <row r="128" spans="1:10">
      <c r="A128" s="180">
        <f t="shared" si="3"/>
        <v>126</v>
      </c>
      <c r="B128" s="181">
        <f t="shared" si="4"/>
        <v>19.404742820407023</v>
      </c>
      <c r="C128" s="2"/>
      <c r="D128" s="181">
        <f t="shared" si="7"/>
        <v>0.35934708926680181</v>
      </c>
      <c r="E128" s="181">
        <f t="shared" si="1"/>
        <v>0.15234819305373573</v>
      </c>
      <c r="F128" s="181">
        <f t="shared" si="2"/>
        <v>0.51169528232053751</v>
      </c>
      <c r="G128" s="185">
        <f t="shared" si="12"/>
        <v>49562</v>
      </c>
      <c r="H128" s="183"/>
      <c r="I128" s="183"/>
      <c r="J128" s="183"/>
    </row>
    <row r="129" spans="1:10">
      <c r="A129" s="180">
        <f t="shared" si="3"/>
        <v>127</v>
      </c>
      <c r="B129" s="181">
        <f t="shared" si="4"/>
        <v>19.045395731140221</v>
      </c>
      <c r="C129" s="2"/>
      <c r="D129" s="181">
        <f t="shared" si="7"/>
        <v>0.35934708926680181</v>
      </c>
      <c r="E129" s="181">
        <f t="shared" si="1"/>
        <v>0.14957822590730413</v>
      </c>
      <c r="F129" s="181">
        <f t="shared" si="2"/>
        <v>0.508925315174106</v>
      </c>
      <c r="G129" s="185">
        <f t="shared" si="12"/>
        <v>49593</v>
      </c>
      <c r="H129" s="183"/>
      <c r="I129" s="183"/>
      <c r="J129" s="183"/>
    </row>
    <row r="130" spans="1:10">
      <c r="A130" s="180">
        <f t="shared" si="3"/>
        <v>128</v>
      </c>
      <c r="B130" s="181">
        <f t="shared" si="4"/>
        <v>18.68604864187342</v>
      </c>
      <c r="C130" s="2"/>
      <c r="D130" s="181">
        <f t="shared" si="7"/>
        <v>0.35934708926680181</v>
      </c>
      <c r="E130" s="181">
        <f t="shared" si="1"/>
        <v>0.14680825876087253</v>
      </c>
      <c r="F130" s="181">
        <f t="shared" si="2"/>
        <v>0.50615534802767437</v>
      </c>
      <c r="G130" s="185">
        <f t="shared" si="12"/>
        <v>49624</v>
      </c>
      <c r="H130" s="183"/>
      <c r="I130" s="183"/>
      <c r="J130" s="183"/>
    </row>
    <row r="131" spans="1:10">
      <c r="A131" s="180">
        <f t="shared" si="3"/>
        <v>129</v>
      </c>
      <c r="B131" s="181">
        <f t="shared" si="4"/>
        <v>18.326701552606618</v>
      </c>
      <c r="C131" s="2"/>
      <c r="D131" s="181">
        <f t="shared" si="7"/>
        <v>0.35934708926680181</v>
      </c>
      <c r="E131" s="181">
        <f t="shared" si="1"/>
        <v>0.14403829161444096</v>
      </c>
      <c r="F131" s="181">
        <f t="shared" si="2"/>
        <v>0.50338538088124274</v>
      </c>
      <c r="G131" s="185">
        <f t="shared" si="12"/>
        <v>49655</v>
      </c>
      <c r="H131" s="183"/>
      <c r="I131" s="183"/>
      <c r="J131" s="183"/>
    </row>
    <row r="132" spans="1:10">
      <c r="A132" s="180">
        <f t="shared" si="3"/>
        <v>130</v>
      </c>
      <c r="B132" s="181">
        <f t="shared" si="4"/>
        <v>17.967354463339817</v>
      </c>
      <c r="C132" s="2"/>
      <c r="D132" s="181">
        <f t="shared" si="7"/>
        <v>0.35934708926680181</v>
      </c>
      <c r="E132" s="181">
        <f t="shared" si="1"/>
        <v>0.14126832446800935</v>
      </c>
      <c r="F132" s="181">
        <f t="shared" si="2"/>
        <v>0.50061541373481111</v>
      </c>
      <c r="G132" s="185">
        <f t="shared" si="12"/>
        <v>49686</v>
      </c>
      <c r="H132" s="183"/>
      <c r="I132" s="183"/>
      <c r="J132" s="183"/>
    </row>
    <row r="133" spans="1:10">
      <c r="A133" s="180">
        <f t="shared" si="3"/>
        <v>131</v>
      </c>
      <c r="B133" s="181">
        <f t="shared" si="4"/>
        <v>17.608007374073015</v>
      </c>
      <c r="C133" s="2"/>
      <c r="D133" s="181">
        <f t="shared" si="7"/>
        <v>0.35934708926680181</v>
      </c>
      <c r="E133" s="181">
        <f t="shared" si="1"/>
        <v>0.13849835732157775</v>
      </c>
      <c r="F133" s="181">
        <f t="shared" si="2"/>
        <v>0.49784544658837959</v>
      </c>
      <c r="G133" s="185">
        <f t="shared" si="12"/>
        <v>49717</v>
      </c>
      <c r="H133" s="183"/>
      <c r="I133" s="183"/>
      <c r="J133" s="183"/>
    </row>
    <row r="134" spans="1:10">
      <c r="A134" s="180">
        <f t="shared" si="3"/>
        <v>132</v>
      </c>
      <c r="B134" s="181">
        <f t="shared" si="4"/>
        <v>17.248660284806213</v>
      </c>
      <c r="C134" s="2"/>
      <c r="D134" s="181">
        <f t="shared" si="7"/>
        <v>0.35934708926680181</v>
      </c>
      <c r="E134" s="181">
        <f t="shared" si="1"/>
        <v>0.13572839017514615</v>
      </c>
      <c r="F134" s="181">
        <f t="shared" si="2"/>
        <v>0.49507547944194796</v>
      </c>
      <c r="G134" s="185">
        <f t="shared" si="12"/>
        <v>49748</v>
      </c>
      <c r="H134" s="181">
        <f>SUM(E123:E134)</f>
        <v>1.8115585137662391</v>
      </c>
      <c r="I134" s="181">
        <f>SUM(D123:D134)</f>
        <v>4.3121650712016208</v>
      </c>
      <c r="J134" s="181">
        <f>I134+H134</f>
        <v>6.12372358496786</v>
      </c>
    </row>
    <row r="135" spans="1:10">
      <c r="A135" s="180">
        <f t="shared" si="3"/>
        <v>133</v>
      </c>
      <c r="B135" s="181">
        <f t="shared" si="4"/>
        <v>16.889313195539412</v>
      </c>
      <c r="C135" s="2"/>
      <c r="D135" s="181">
        <f t="shared" si="7"/>
        <v>0.35934708926680181</v>
      </c>
      <c r="E135" s="181">
        <f t="shared" si="1"/>
        <v>0.13295842302871455</v>
      </c>
      <c r="F135" s="181">
        <f t="shared" si="2"/>
        <v>0.49230551229551633</v>
      </c>
      <c r="G135" s="185">
        <f t="shared" si="12"/>
        <v>49779</v>
      </c>
      <c r="H135" s="183"/>
      <c r="I135" s="183"/>
      <c r="J135" s="183"/>
    </row>
    <row r="136" spans="1:10">
      <c r="A136" s="180">
        <f t="shared" si="3"/>
        <v>134</v>
      </c>
      <c r="B136" s="181">
        <f t="shared" si="4"/>
        <v>16.52996610627261</v>
      </c>
      <c r="C136" s="2"/>
      <c r="D136" s="181">
        <f t="shared" si="7"/>
        <v>0.35934708926680181</v>
      </c>
      <c r="E136" s="181">
        <f t="shared" si="1"/>
        <v>0.13018845588228298</v>
      </c>
      <c r="F136" s="181">
        <f t="shared" si="2"/>
        <v>0.48953554514908482</v>
      </c>
      <c r="G136" s="185">
        <f t="shared" si="12"/>
        <v>49810</v>
      </c>
      <c r="H136" s="183"/>
      <c r="I136" s="183"/>
      <c r="J136" s="183"/>
    </row>
    <row r="137" spans="1:10">
      <c r="A137" s="180">
        <f t="shared" si="3"/>
        <v>135</v>
      </c>
      <c r="B137" s="181">
        <f t="shared" si="4"/>
        <v>16.170619017005809</v>
      </c>
      <c r="C137" s="2"/>
      <c r="D137" s="181">
        <f t="shared" si="7"/>
        <v>0.35934708926680181</v>
      </c>
      <c r="E137" s="181">
        <f t="shared" si="1"/>
        <v>0.12741848873585138</v>
      </c>
      <c r="F137" s="181">
        <f t="shared" si="2"/>
        <v>0.48676557800265319</v>
      </c>
      <c r="G137" s="185">
        <f t="shared" si="12"/>
        <v>49841</v>
      </c>
      <c r="H137" s="183"/>
      <c r="I137" s="183"/>
      <c r="J137" s="183"/>
    </row>
    <row r="138" spans="1:10">
      <c r="A138" s="180">
        <f t="shared" si="3"/>
        <v>136</v>
      </c>
      <c r="B138" s="181">
        <f t="shared" si="4"/>
        <v>15.811271927739007</v>
      </c>
      <c r="C138" s="2"/>
      <c r="D138" s="181">
        <f t="shared" si="7"/>
        <v>0.35934708926680181</v>
      </c>
      <c r="E138" s="181">
        <f t="shared" si="1"/>
        <v>0.12464852158941976</v>
      </c>
      <c r="F138" s="181">
        <f t="shared" si="2"/>
        <v>0.48399561085622156</v>
      </c>
      <c r="G138" s="185">
        <f t="shared" si="12"/>
        <v>49872</v>
      </c>
      <c r="H138" s="183"/>
      <c r="I138" s="183"/>
      <c r="J138" s="183"/>
    </row>
    <row r="139" spans="1:10">
      <c r="A139" s="180">
        <f t="shared" si="3"/>
        <v>137</v>
      </c>
      <c r="B139" s="181">
        <f t="shared" si="4"/>
        <v>15.451924838472205</v>
      </c>
      <c r="C139" s="2"/>
      <c r="D139" s="181">
        <f t="shared" si="7"/>
        <v>0.35934708926680181</v>
      </c>
      <c r="E139" s="181">
        <f t="shared" si="1"/>
        <v>0.12187855444298817</v>
      </c>
      <c r="F139" s="181">
        <f t="shared" si="2"/>
        <v>0.48122564370978999</v>
      </c>
      <c r="G139" s="185">
        <f t="shared" si="12"/>
        <v>49903</v>
      </c>
      <c r="H139" s="183"/>
      <c r="I139" s="183"/>
      <c r="J139" s="183"/>
    </row>
    <row r="140" spans="1:10">
      <c r="A140" s="180">
        <f t="shared" si="3"/>
        <v>138</v>
      </c>
      <c r="B140" s="181">
        <f t="shared" si="4"/>
        <v>15.092577749205404</v>
      </c>
      <c r="C140" s="2"/>
      <c r="D140" s="181">
        <f t="shared" si="7"/>
        <v>0.35934708926680181</v>
      </c>
      <c r="E140" s="181">
        <f t="shared" si="1"/>
        <v>0.11910858729655659</v>
      </c>
      <c r="F140" s="181">
        <f t="shared" si="2"/>
        <v>0.47845567656335841</v>
      </c>
      <c r="G140" s="185">
        <f t="shared" si="12"/>
        <v>49934</v>
      </c>
      <c r="H140" s="183"/>
      <c r="I140" s="183"/>
      <c r="J140" s="183"/>
    </row>
    <row r="141" spans="1:10">
      <c r="A141" s="180">
        <f t="shared" si="3"/>
        <v>139</v>
      </c>
      <c r="B141" s="181">
        <f t="shared" si="4"/>
        <v>14.733230659938602</v>
      </c>
      <c r="C141" s="2"/>
      <c r="D141" s="181">
        <f t="shared" si="7"/>
        <v>0.35934708926680181</v>
      </c>
      <c r="E141" s="181">
        <f t="shared" si="1"/>
        <v>0.11633862015012499</v>
      </c>
      <c r="F141" s="181">
        <f t="shared" si="2"/>
        <v>0.47568570941692678</v>
      </c>
      <c r="G141" s="185">
        <f t="shared" si="12"/>
        <v>49965</v>
      </c>
      <c r="H141" s="183"/>
      <c r="I141" s="183"/>
      <c r="J141" s="183"/>
    </row>
    <row r="142" spans="1:10">
      <c r="A142" s="180">
        <f t="shared" si="3"/>
        <v>140</v>
      </c>
      <c r="B142" s="181">
        <f t="shared" si="4"/>
        <v>14.373883570671801</v>
      </c>
      <c r="C142" s="2"/>
      <c r="D142" s="181">
        <f t="shared" si="7"/>
        <v>0.35934708926680181</v>
      </c>
      <c r="E142" s="181">
        <f t="shared" si="1"/>
        <v>0.1135686530036934</v>
      </c>
      <c r="F142" s="181">
        <f t="shared" si="2"/>
        <v>0.47291574227049521</v>
      </c>
      <c r="G142" s="185">
        <f t="shared" si="12"/>
        <v>49996</v>
      </c>
      <c r="H142" s="183"/>
      <c r="I142" s="183"/>
      <c r="J142" s="183"/>
    </row>
    <row r="143" spans="1:10">
      <c r="A143" s="180">
        <f t="shared" si="3"/>
        <v>141</v>
      </c>
      <c r="B143" s="181">
        <f t="shared" si="4"/>
        <v>14.014536481404999</v>
      </c>
      <c r="C143" s="2"/>
      <c r="D143" s="181">
        <f t="shared" si="7"/>
        <v>0.35934708926680181</v>
      </c>
      <c r="E143" s="181">
        <f t="shared" si="1"/>
        <v>0.11079868585726178</v>
      </c>
      <c r="F143" s="181">
        <f t="shared" si="2"/>
        <v>0.47014577512406358</v>
      </c>
      <c r="G143" s="185">
        <f t="shared" si="12"/>
        <v>50027</v>
      </c>
      <c r="H143" s="183"/>
      <c r="I143" s="183"/>
      <c r="J143" s="183"/>
    </row>
    <row r="144" spans="1:10">
      <c r="A144" s="180">
        <f t="shared" si="3"/>
        <v>142</v>
      </c>
      <c r="B144" s="181">
        <f t="shared" si="4"/>
        <v>13.655189392138197</v>
      </c>
      <c r="C144" s="2"/>
      <c r="D144" s="181">
        <f t="shared" si="7"/>
        <v>0.35934708926680181</v>
      </c>
      <c r="E144" s="181">
        <f t="shared" si="1"/>
        <v>0.1080287187108302</v>
      </c>
      <c r="F144" s="181">
        <f t="shared" si="2"/>
        <v>0.46737580797763201</v>
      </c>
      <c r="G144" s="185">
        <f t="shared" si="12"/>
        <v>50058</v>
      </c>
      <c r="H144" s="183"/>
      <c r="I144" s="183"/>
      <c r="J144" s="183"/>
    </row>
    <row r="145" spans="1:10">
      <c r="A145" s="180">
        <f t="shared" si="3"/>
        <v>143</v>
      </c>
      <c r="B145" s="181">
        <f t="shared" si="4"/>
        <v>13.295842302871396</v>
      </c>
      <c r="C145" s="2"/>
      <c r="D145" s="181">
        <f t="shared" si="7"/>
        <v>0.35934708926680181</v>
      </c>
      <c r="E145" s="181">
        <f t="shared" si="1"/>
        <v>0.10525875156439861</v>
      </c>
      <c r="F145" s="181">
        <f t="shared" si="2"/>
        <v>0.46460584083120043</v>
      </c>
      <c r="G145" s="185">
        <f t="shared" si="12"/>
        <v>50089</v>
      </c>
      <c r="H145" s="183"/>
      <c r="I145" s="183"/>
      <c r="J145" s="183"/>
    </row>
    <row r="146" spans="1:10">
      <c r="A146" s="180">
        <f t="shared" si="3"/>
        <v>144</v>
      </c>
      <c r="B146" s="181">
        <f t="shared" si="4"/>
        <v>12.936495213604594</v>
      </c>
      <c r="C146" s="2"/>
      <c r="D146" s="181">
        <f t="shared" si="7"/>
        <v>0.35934708926680181</v>
      </c>
      <c r="E146" s="181">
        <f t="shared" si="1"/>
        <v>0.10248878441796701</v>
      </c>
      <c r="F146" s="181">
        <f t="shared" si="2"/>
        <v>0.46183587368476881</v>
      </c>
      <c r="G146" s="185">
        <f t="shared" si="12"/>
        <v>50120</v>
      </c>
      <c r="H146" s="181">
        <f>SUM(E135:E146)</f>
        <v>1.4126832446800894</v>
      </c>
      <c r="I146" s="181">
        <f>SUM(D135:D146)</f>
        <v>4.3121650712016208</v>
      </c>
      <c r="J146" s="181">
        <f>I146+H146</f>
        <v>5.7248483158817098</v>
      </c>
    </row>
    <row r="147" spans="1:10">
      <c r="A147" s="180">
        <f t="shared" si="3"/>
        <v>145</v>
      </c>
      <c r="B147" s="181">
        <f t="shared" si="4"/>
        <v>12.577148124337793</v>
      </c>
      <c r="C147" s="2"/>
      <c r="D147" s="181">
        <f t="shared" si="7"/>
        <v>0.35934708926680181</v>
      </c>
      <c r="E147" s="181">
        <f t="shared" si="1"/>
        <v>9.971881727153542E-2</v>
      </c>
      <c r="F147" s="181">
        <f t="shared" si="2"/>
        <v>0.45906590653833723</v>
      </c>
      <c r="G147" s="185">
        <f t="shared" si="12"/>
        <v>50151</v>
      </c>
      <c r="H147" s="183"/>
      <c r="I147" s="183"/>
      <c r="J147" s="183"/>
    </row>
    <row r="148" spans="1:10">
      <c r="A148" s="180">
        <f t="shared" si="3"/>
        <v>146</v>
      </c>
      <c r="B148" s="181">
        <f t="shared" si="4"/>
        <v>12.217801035070991</v>
      </c>
      <c r="C148" s="2"/>
      <c r="D148" s="181">
        <f t="shared" si="7"/>
        <v>0.35934708926680181</v>
      </c>
      <c r="E148" s="181">
        <f t="shared" si="1"/>
        <v>9.6948850125103805E-2</v>
      </c>
      <c r="F148" s="181">
        <f t="shared" si="2"/>
        <v>0.4562959393919056</v>
      </c>
      <c r="G148" s="185">
        <f t="shared" si="12"/>
        <v>50182</v>
      </c>
      <c r="H148" s="183"/>
      <c r="I148" s="183"/>
      <c r="J148" s="183"/>
    </row>
    <row r="149" spans="1:10">
      <c r="A149" s="180">
        <f t="shared" si="3"/>
        <v>147</v>
      </c>
      <c r="B149" s="181">
        <f t="shared" si="4"/>
        <v>11.85845394580419</v>
      </c>
      <c r="C149" s="2"/>
      <c r="D149" s="181">
        <f t="shared" si="7"/>
        <v>0.35934708926680181</v>
      </c>
      <c r="E149" s="181">
        <f t="shared" si="1"/>
        <v>9.4178882978672218E-2</v>
      </c>
      <c r="F149" s="181">
        <f t="shared" si="2"/>
        <v>0.45352597224547403</v>
      </c>
      <c r="G149" s="185">
        <f t="shared" si="12"/>
        <v>50213</v>
      </c>
      <c r="H149" s="183"/>
      <c r="I149" s="183"/>
      <c r="J149" s="183"/>
    </row>
    <row r="150" spans="1:10">
      <c r="A150" s="180">
        <f t="shared" si="3"/>
        <v>148</v>
      </c>
      <c r="B150" s="181">
        <f t="shared" si="4"/>
        <v>11.499106856537388</v>
      </c>
      <c r="C150" s="2"/>
      <c r="D150" s="181">
        <f t="shared" si="7"/>
        <v>0.35934708926680181</v>
      </c>
      <c r="E150" s="181">
        <f t="shared" si="1"/>
        <v>9.1408915832240631E-2</v>
      </c>
      <c r="F150" s="181">
        <f t="shared" si="2"/>
        <v>0.45075600509904246</v>
      </c>
      <c r="G150" s="185">
        <f t="shared" si="12"/>
        <v>50244</v>
      </c>
      <c r="H150" s="183"/>
      <c r="I150" s="183"/>
      <c r="J150" s="183"/>
    </row>
    <row r="151" spans="1:10">
      <c r="A151" s="180">
        <f t="shared" si="3"/>
        <v>149</v>
      </c>
      <c r="B151" s="181">
        <f t="shared" si="4"/>
        <v>11.139759767270586</v>
      </c>
      <c r="C151" s="2"/>
      <c r="D151" s="181">
        <f t="shared" si="7"/>
        <v>0.35934708926680181</v>
      </c>
      <c r="E151" s="181">
        <f t="shared" si="1"/>
        <v>8.863894868580903E-2</v>
      </c>
      <c r="F151" s="181">
        <f t="shared" si="2"/>
        <v>0.44798603795261083</v>
      </c>
      <c r="G151" s="185">
        <f t="shared" si="12"/>
        <v>50275</v>
      </c>
      <c r="H151" s="183"/>
      <c r="I151" s="183"/>
      <c r="J151" s="183"/>
    </row>
    <row r="152" spans="1:10">
      <c r="A152" s="180">
        <f t="shared" si="3"/>
        <v>150</v>
      </c>
      <c r="B152" s="181">
        <f t="shared" si="4"/>
        <v>10.780412678003785</v>
      </c>
      <c r="C152" s="2"/>
      <c r="D152" s="181">
        <f t="shared" si="7"/>
        <v>0.35934708926680181</v>
      </c>
      <c r="E152" s="181">
        <f t="shared" si="1"/>
        <v>8.5868981539377442E-2</v>
      </c>
      <c r="F152" s="181">
        <f t="shared" si="2"/>
        <v>0.44521607080617925</v>
      </c>
      <c r="G152" s="185">
        <f t="shared" si="12"/>
        <v>50306</v>
      </c>
      <c r="H152" s="183"/>
      <c r="I152" s="183"/>
      <c r="J152" s="183"/>
    </row>
    <row r="153" spans="1:10">
      <c r="A153" s="180">
        <f t="shared" si="3"/>
        <v>151</v>
      </c>
      <c r="B153" s="181">
        <f t="shared" si="4"/>
        <v>10.421065588736983</v>
      </c>
      <c r="C153" s="2"/>
      <c r="D153" s="181">
        <f t="shared" si="7"/>
        <v>0.35934708926680181</v>
      </c>
      <c r="E153" s="181">
        <f t="shared" si="1"/>
        <v>8.3099014392945841E-2</v>
      </c>
      <c r="F153" s="181">
        <f t="shared" si="2"/>
        <v>0.44244610365974768</v>
      </c>
      <c r="G153" s="185">
        <f t="shared" si="12"/>
        <v>50337</v>
      </c>
      <c r="H153" s="183"/>
      <c r="I153" s="183"/>
      <c r="J153" s="183"/>
    </row>
    <row r="154" spans="1:10">
      <c r="A154" s="180">
        <f t="shared" si="3"/>
        <v>152</v>
      </c>
      <c r="B154" s="181">
        <f t="shared" si="4"/>
        <v>10.061718499470182</v>
      </c>
      <c r="C154" s="2"/>
      <c r="D154" s="181">
        <f t="shared" si="7"/>
        <v>0.35934708926680181</v>
      </c>
      <c r="E154" s="181">
        <f t="shared" si="1"/>
        <v>8.032904724651424E-2</v>
      </c>
      <c r="F154" s="181">
        <f t="shared" si="2"/>
        <v>0.43967613651331605</v>
      </c>
      <c r="G154" s="185">
        <f t="shared" si="12"/>
        <v>50368</v>
      </c>
      <c r="H154" s="183"/>
      <c r="I154" s="183"/>
      <c r="J154" s="183"/>
    </row>
    <row r="155" spans="1:10">
      <c r="A155" s="180">
        <f t="shared" si="3"/>
        <v>153</v>
      </c>
      <c r="B155" s="181">
        <f t="shared" si="4"/>
        <v>9.70237141020338</v>
      </c>
      <c r="C155" s="2"/>
      <c r="D155" s="181">
        <f t="shared" si="7"/>
        <v>0.35934708926680181</v>
      </c>
      <c r="E155" s="181">
        <f t="shared" si="1"/>
        <v>7.7559080100082653E-2</v>
      </c>
      <c r="F155" s="181">
        <f t="shared" si="2"/>
        <v>0.43690616936688448</v>
      </c>
      <c r="G155" s="185">
        <f t="shared" si="12"/>
        <v>50399</v>
      </c>
      <c r="H155" s="183"/>
      <c r="I155" s="183"/>
      <c r="J155" s="183"/>
    </row>
    <row r="156" spans="1:10">
      <c r="A156" s="180">
        <f t="shared" si="3"/>
        <v>154</v>
      </c>
      <c r="B156" s="181">
        <f t="shared" si="4"/>
        <v>9.3430243209365784</v>
      </c>
      <c r="C156" s="2"/>
      <c r="D156" s="181">
        <f t="shared" si="7"/>
        <v>0.35934708926680181</v>
      </c>
      <c r="E156" s="181">
        <f t="shared" si="1"/>
        <v>7.4789112953651052E-2</v>
      </c>
      <c r="F156" s="181">
        <f t="shared" si="2"/>
        <v>0.43413620222045285</v>
      </c>
      <c r="G156" s="185">
        <f t="shared" si="12"/>
        <v>50430</v>
      </c>
      <c r="H156" s="183"/>
      <c r="I156" s="183"/>
      <c r="J156" s="183"/>
    </row>
    <row r="157" spans="1:10">
      <c r="A157" s="180">
        <f t="shared" si="3"/>
        <v>155</v>
      </c>
      <c r="B157" s="181">
        <f t="shared" si="4"/>
        <v>8.9836772316697768</v>
      </c>
      <c r="C157" s="2"/>
      <c r="D157" s="181">
        <f t="shared" si="7"/>
        <v>0.35934708926680181</v>
      </c>
      <c r="E157" s="181">
        <f t="shared" si="1"/>
        <v>7.2019145807219451E-2</v>
      </c>
      <c r="F157" s="181">
        <f t="shared" si="2"/>
        <v>0.43136623507402128</v>
      </c>
      <c r="G157" s="185">
        <f>G156+14</f>
        <v>50444</v>
      </c>
      <c r="H157" s="183"/>
      <c r="I157" s="183"/>
      <c r="J157" s="183"/>
    </row>
    <row r="158" spans="1:10">
      <c r="A158" s="180">
        <f t="shared" si="3"/>
        <v>156</v>
      </c>
      <c r="B158" s="181">
        <f t="shared" si="4"/>
        <v>8.6243301424029752</v>
      </c>
      <c r="C158" s="2"/>
      <c r="D158" s="181">
        <f t="shared" si="7"/>
        <v>0.35934708926680181</v>
      </c>
      <c r="E158" s="181">
        <f t="shared" si="1"/>
        <v>6.9249178660787863E-2</v>
      </c>
      <c r="F158" s="181">
        <f t="shared" si="2"/>
        <v>0.42859626792758965</v>
      </c>
      <c r="G158" s="185">
        <f t="shared" ref="G158:G194" si="13">G157+31</f>
        <v>50475</v>
      </c>
      <c r="H158" s="181">
        <f>SUM(E147:E158)</f>
        <v>1.0138079755939398</v>
      </c>
      <c r="I158" s="181">
        <f>SUM(D147:D158)</f>
        <v>4.3121650712016208</v>
      </c>
      <c r="J158" s="181">
        <f>I158+H158</f>
        <v>5.3259730467955606</v>
      </c>
    </row>
    <row r="159" spans="1:10">
      <c r="A159" s="180">
        <f t="shared" si="3"/>
        <v>157</v>
      </c>
      <c r="B159" s="181">
        <f t="shared" si="4"/>
        <v>8.2649830531361737</v>
      </c>
      <c r="C159" s="2"/>
      <c r="D159" s="181">
        <f t="shared" si="7"/>
        <v>0.35934708926680181</v>
      </c>
      <c r="E159" s="181">
        <f t="shared" si="1"/>
        <v>6.6479211514356262E-2</v>
      </c>
      <c r="F159" s="181">
        <f t="shared" si="2"/>
        <v>0.42582630078115807</v>
      </c>
      <c r="G159" s="185">
        <f t="shared" si="13"/>
        <v>50506</v>
      </c>
      <c r="H159" s="183"/>
      <c r="I159" s="183"/>
      <c r="J159" s="183"/>
    </row>
    <row r="160" spans="1:10">
      <c r="A160" s="180">
        <f t="shared" si="3"/>
        <v>158</v>
      </c>
      <c r="B160" s="181">
        <f t="shared" si="4"/>
        <v>7.9056359638693721</v>
      </c>
      <c r="C160" s="2"/>
      <c r="D160" s="181">
        <f t="shared" si="7"/>
        <v>0.35934708926680181</v>
      </c>
      <c r="E160" s="181">
        <f t="shared" si="1"/>
        <v>6.3709244367924675E-2</v>
      </c>
      <c r="F160" s="181">
        <f t="shared" si="2"/>
        <v>0.4230563336347265</v>
      </c>
      <c r="G160" s="185">
        <f t="shared" si="13"/>
        <v>50537</v>
      </c>
      <c r="H160" s="183"/>
      <c r="I160" s="183"/>
      <c r="J160" s="183"/>
    </row>
    <row r="161" spans="1:10">
      <c r="A161" s="180">
        <f t="shared" si="3"/>
        <v>159</v>
      </c>
      <c r="B161" s="181">
        <f t="shared" si="4"/>
        <v>7.5462888746025705</v>
      </c>
      <c r="C161" s="2"/>
      <c r="D161" s="181">
        <f t="shared" si="7"/>
        <v>0.35934708926680181</v>
      </c>
      <c r="E161" s="181">
        <f t="shared" si="1"/>
        <v>6.0939277221493081E-2</v>
      </c>
      <c r="F161" s="181">
        <f t="shared" si="2"/>
        <v>0.42028636648829487</v>
      </c>
      <c r="G161" s="185">
        <f t="shared" si="13"/>
        <v>50568</v>
      </c>
      <c r="H161" s="183"/>
      <c r="I161" s="183"/>
      <c r="J161" s="183"/>
    </row>
    <row r="162" spans="1:10">
      <c r="A162" s="180">
        <f t="shared" si="3"/>
        <v>160</v>
      </c>
      <c r="B162" s="181">
        <f t="shared" si="4"/>
        <v>7.1869417853357689</v>
      </c>
      <c r="C162" s="2"/>
      <c r="D162" s="181">
        <f t="shared" si="7"/>
        <v>0.35934708926680181</v>
      </c>
      <c r="E162" s="181">
        <f t="shared" si="1"/>
        <v>5.816931007506148E-2</v>
      </c>
      <c r="F162" s="181">
        <f t="shared" si="2"/>
        <v>0.4175163993418633</v>
      </c>
      <c r="G162" s="185">
        <f t="shared" si="13"/>
        <v>50599</v>
      </c>
      <c r="H162" s="183"/>
      <c r="I162" s="183"/>
      <c r="J162" s="183"/>
    </row>
    <row r="163" spans="1:10">
      <c r="A163" s="180">
        <f t="shared" si="3"/>
        <v>161</v>
      </c>
      <c r="B163" s="181">
        <f t="shared" si="4"/>
        <v>6.8275946960689673</v>
      </c>
      <c r="C163" s="2"/>
      <c r="D163" s="181">
        <f t="shared" si="7"/>
        <v>0.35934708926680181</v>
      </c>
      <c r="E163" s="181">
        <f t="shared" si="1"/>
        <v>5.5399342928629886E-2</v>
      </c>
      <c r="F163" s="181">
        <f t="shared" si="2"/>
        <v>0.41474643219543172</v>
      </c>
      <c r="G163" s="185">
        <f t="shared" si="13"/>
        <v>50630</v>
      </c>
      <c r="H163" s="183"/>
      <c r="I163" s="183"/>
      <c r="J163" s="183"/>
    </row>
    <row r="164" spans="1:10">
      <c r="A164" s="180">
        <f t="shared" si="3"/>
        <v>162</v>
      </c>
      <c r="B164" s="181">
        <f t="shared" si="4"/>
        <v>6.4682476068021657</v>
      </c>
      <c r="C164" s="2"/>
      <c r="D164" s="181">
        <f t="shared" si="7"/>
        <v>0.35934708926680181</v>
      </c>
      <c r="E164" s="181">
        <f t="shared" si="1"/>
        <v>5.2629375782198284E-2</v>
      </c>
      <c r="F164" s="181">
        <f t="shared" si="2"/>
        <v>0.4119764650490001</v>
      </c>
      <c r="G164" s="185">
        <f t="shared" si="13"/>
        <v>50661</v>
      </c>
      <c r="H164" s="183"/>
      <c r="I164" s="183"/>
      <c r="J164" s="183"/>
    </row>
    <row r="165" spans="1:10">
      <c r="A165" s="180">
        <f t="shared" si="3"/>
        <v>163</v>
      </c>
      <c r="B165" s="181">
        <f t="shared" si="4"/>
        <v>6.1089005175353641</v>
      </c>
      <c r="C165" s="2"/>
      <c r="D165" s="181">
        <f t="shared" si="7"/>
        <v>0.35934708926680181</v>
      </c>
      <c r="E165" s="181">
        <f t="shared" si="1"/>
        <v>4.985940863576669E-2</v>
      </c>
      <c r="F165" s="181">
        <f t="shared" si="2"/>
        <v>0.40920649790256852</v>
      </c>
      <c r="G165" s="185">
        <f t="shared" si="13"/>
        <v>50692</v>
      </c>
      <c r="H165" s="183"/>
      <c r="I165" s="183"/>
      <c r="J165" s="183"/>
    </row>
    <row r="166" spans="1:10">
      <c r="A166" s="180">
        <f t="shared" si="3"/>
        <v>164</v>
      </c>
      <c r="B166" s="181">
        <f t="shared" si="4"/>
        <v>5.7495534282685625</v>
      </c>
      <c r="C166" s="2"/>
      <c r="D166" s="181">
        <f t="shared" si="7"/>
        <v>0.35934708926680181</v>
      </c>
      <c r="E166" s="181">
        <f t="shared" si="1"/>
        <v>4.7089441489335103E-2</v>
      </c>
      <c r="F166" s="181">
        <f t="shared" si="2"/>
        <v>0.40643653075613689</v>
      </c>
      <c r="G166" s="185">
        <f t="shared" si="13"/>
        <v>50723</v>
      </c>
      <c r="H166" s="183"/>
      <c r="I166" s="183"/>
      <c r="J166" s="183"/>
    </row>
    <row r="167" spans="1:10">
      <c r="A167" s="180">
        <f t="shared" si="3"/>
        <v>165</v>
      </c>
      <c r="B167" s="181">
        <f t="shared" si="4"/>
        <v>5.3902063390017609</v>
      </c>
      <c r="C167" s="2"/>
      <c r="D167" s="181">
        <f t="shared" si="7"/>
        <v>0.35934708926680181</v>
      </c>
      <c r="E167" s="181">
        <f t="shared" si="1"/>
        <v>4.4319474342903502E-2</v>
      </c>
      <c r="F167" s="181">
        <f t="shared" si="2"/>
        <v>0.40366656360970532</v>
      </c>
      <c r="G167" s="185">
        <f t="shared" si="13"/>
        <v>50754</v>
      </c>
      <c r="H167" s="183"/>
      <c r="I167" s="183"/>
      <c r="J167" s="183"/>
    </row>
    <row r="168" spans="1:10">
      <c r="A168" s="180">
        <f t="shared" si="3"/>
        <v>166</v>
      </c>
      <c r="B168" s="181">
        <f t="shared" si="4"/>
        <v>5.0308592497349593</v>
      </c>
      <c r="C168" s="2"/>
      <c r="D168" s="181">
        <f t="shared" si="7"/>
        <v>0.35934708926680181</v>
      </c>
      <c r="E168" s="181">
        <f t="shared" si="1"/>
        <v>4.1549507196471908E-2</v>
      </c>
      <c r="F168" s="181">
        <f t="shared" si="2"/>
        <v>0.40089659646327369</v>
      </c>
      <c r="G168" s="185">
        <f t="shared" si="13"/>
        <v>50785</v>
      </c>
      <c r="H168" s="183"/>
      <c r="I168" s="183"/>
      <c r="J168" s="183"/>
    </row>
    <row r="169" spans="1:10">
      <c r="A169" s="180">
        <f t="shared" si="3"/>
        <v>167</v>
      </c>
      <c r="B169" s="181">
        <f t="shared" si="4"/>
        <v>4.6715121604681578</v>
      </c>
      <c r="C169" s="2"/>
      <c r="D169" s="181">
        <f t="shared" si="7"/>
        <v>0.35934708926680181</v>
      </c>
      <c r="E169" s="181">
        <f t="shared" si="1"/>
        <v>3.8779540050040313E-2</v>
      </c>
      <c r="F169" s="181">
        <f t="shared" si="2"/>
        <v>0.39812662931684212</v>
      </c>
      <c r="G169" s="185">
        <f t="shared" si="13"/>
        <v>50816</v>
      </c>
      <c r="H169" s="183"/>
      <c r="I169" s="183"/>
      <c r="J169" s="183"/>
    </row>
    <row r="170" spans="1:10">
      <c r="A170" s="180">
        <f t="shared" si="3"/>
        <v>168</v>
      </c>
      <c r="B170" s="181">
        <f t="shared" si="4"/>
        <v>4.3121650712013562</v>
      </c>
      <c r="C170" s="2"/>
      <c r="D170" s="181">
        <f t="shared" si="7"/>
        <v>0.35934708926680181</v>
      </c>
      <c r="E170" s="181">
        <f t="shared" si="1"/>
        <v>3.6009572903608712E-2</v>
      </c>
      <c r="F170" s="181">
        <f t="shared" si="2"/>
        <v>0.39535666217041054</v>
      </c>
      <c r="G170" s="185">
        <f t="shared" si="13"/>
        <v>50847</v>
      </c>
      <c r="H170" s="181">
        <f>SUM(E159:E170)</f>
        <v>0.61493270650778997</v>
      </c>
      <c r="I170" s="181">
        <f>SUM(D159:D170)</f>
        <v>4.3121650712016208</v>
      </c>
      <c r="J170" s="181">
        <f>I170+H170</f>
        <v>4.9270977777094105</v>
      </c>
    </row>
    <row r="171" spans="1:10">
      <c r="A171" s="180">
        <f t="shared" si="3"/>
        <v>169</v>
      </c>
      <c r="B171" s="181">
        <f t="shared" si="4"/>
        <v>3.9528179819345546</v>
      </c>
      <c r="C171" s="2"/>
      <c r="D171" s="181">
        <f t="shared" si="7"/>
        <v>0.35934708926680181</v>
      </c>
      <c r="E171" s="181">
        <f t="shared" si="1"/>
        <v>3.3239605757177118E-2</v>
      </c>
      <c r="F171" s="181">
        <f t="shared" si="2"/>
        <v>0.39258669502397892</v>
      </c>
      <c r="G171" s="185">
        <f t="shared" si="13"/>
        <v>50878</v>
      </c>
      <c r="H171" s="183"/>
      <c r="I171" s="183"/>
      <c r="J171" s="183"/>
    </row>
    <row r="172" spans="1:10">
      <c r="A172" s="180">
        <f t="shared" si="3"/>
        <v>170</v>
      </c>
      <c r="B172" s="181">
        <f t="shared" si="4"/>
        <v>3.593470892667753</v>
      </c>
      <c r="C172" s="2"/>
      <c r="D172" s="181">
        <f t="shared" si="7"/>
        <v>0.35934708926680181</v>
      </c>
      <c r="E172" s="181">
        <f t="shared" si="1"/>
        <v>3.0469638610745527E-2</v>
      </c>
      <c r="F172" s="181">
        <f t="shared" si="2"/>
        <v>0.38981672787754734</v>
      </c>
      <c r="G172" s="185">
        <f t="shared" si="13"/>
        <v>50909</v>
      </c>
      <c r="H172" s="183"/>
      <c r="I172" s="183"/>
      <c r="J172" s="183"/>
    </row>
    <row r="173" spans="1:10">
      <c r="A173" s="180">
        <f t="shared" si="3"/>
        <v>171</v>
      </c>
      <c r="B173" s="181">
        <f t="shared" si="4"/>
        <v>3.2341238034009514</v>
      </c>
      <c r="C173" s="2"/>
      <c r="D173" s="181">
        <f t="shared" si="7"/>
        <v>0.35934708926680181</v>
      </c>
      <c r="E173" s="181">
        <f t="shared" si="1"/>
        <v>2.769967146431393E-2</v>
      </c>
      <c r="F173" s="181">
        <f t="shared" si="2"/>
        <v>0.38704676073111577</v>
      </c>
      <c r="G173" s="185">
        <f t="shared" si="13"/>
        <v>50940</v>
      </c>
      <c r="H173" s="183"/>
      <c r="I173" s="183"/>
      <c r="J173" s="183"/>
    </row>
    <row r="174" spans="1:10">
      <c r="A174" s="180">
        <f t="shared" si="3"/>
        <v>172</v>
      </c>
      <c r="B174" s="181">
        <f t="shared" si="4"/>
        <v>2.8747767141341498</v>
      </c>
      <c r="C174" s="2"/>
      <c r="D174" s="181">
        <f t="shared" si="7"/>
        <v>0.35934708926680181</v>
      </c>
      <c r="E174" s="181">
        <f t="shared" si="1"/>
        <v>2.4929704317882332E-2</v>
      </c>
      <c r="F174" s="181">
        <f t="shared" si="2"/>
        <v>0.38427679358468414</v>
      </c>
      <c r="G174" s="185">
        <f t="shared" si="13"/>
        <v>50971</v>
      </c>
      <c r="H174" s="183"/>
      <c r="I174" s="183"/>
      <c r="J174" s="183"/>
    </row>
    <row r="175" spans="1:10">
      <c r="A175" s="180">
        <f t="shared" si="3"/>
        <v>173</v>
      </c>
      <c r="B175" s="181">
        <f t="shared" si="4"/>
        <v>2.5154296248673482</v>
      </c>
      <c r="C175" s="2"/>
      <c r="D175" s="181">
        <f t="shared" si="7"/>
        <v>0.35934708926680181</v>
      </c>
      <c r="E175" s="181">
        <f t="shared" si="1"/>
        <v>2.2159737171450738E-2</v>
      </c>
      <c r="F175" s="181">
        <f t="shared" si="2"/>
        <v>0.38150682643825257</v>
      </c>
      <c r="G175" s="185">
        <f t="shared" si="13"/>
        <v>51002</v>
      </c>
      <c r="H175" s="183"/>
      <c r="I175" s="183"/>
      <c r="J175" s="183"/>
    </row>
    <row r="176" spans="1:10">
      <c r="A176" s="180">
        <f t="shared" si="3"/>
        <v>174</v>
      </c>
      <c r="B176" s="181">
        <f t="shared" si="4"/>
        <v>2.1560825356005466</v>
      </c>
      <c r="C176" s="2"/>
      <c r="D176" s="181">
        <f t="shared" si="7"/>
        <v>0.35934708926680181</v>
      </c>
      <c r="E176" s="181">
        <f t="shared" si="1"/>
        <v>1.9389770025019144E-2</v>
      </c>
      <c r="F176" s="181">
        <f t="shared" si="2"/>
        <v>0.37873685929182094</v>
      </c>
      <c r="G176" s="185">
        <f t="shared" si="13"/>
        <v>51033</v>
      </c>
      <c r="H176" s="183"/>
      <c r="I176" s="183"/>
      <c r="J176" s="183"/>
    </row>
    <row r="177" spans="1:10">
      <c r="A177" s="180">
        <f t="shared" si="3"/>
        <v>175</v>
      </c>
      <c r="B177" s="181">
        <f t="shared" si="4"/>
        <v>1.7967354463337448</v>
      </c>
      <c r="C177" s="2"/>
      <c r="D177" s="181">
        <f t="shared" si="7"/>
        <v>0.35934708926680181</v>
      </c>
      <c r="E177" s="181">
        <f t="shared" si="1"/>
        <v>1.6619802878587546E-2</v>
      </c>
      <c r="F177" s="181">
        <f t="shared" si="2"/>
        <v>0.37596689214538936</v>
      </c>
      <c r="G177" s="185">
        <f t="shared" si="13"/>
        <v>51064</v>
      </c>
      <c r="H177" s="183"/>
      <c r="I177" s="183"/>
      <c r="J177" s="183"/>
    </row>
    <row r="178" spans="1:10">
      <c r="A178" s="180">
        <f t="shared" si="3"/>
        <v>176</v>
      </c>
      <c r="B178" s="181">
        <f t="shared" si="4"/>
        <v>1.437388357066943</v>
      </c>
      <c r="C178" s="2"/>
      <c r="D178" s="181">
        <f t="shared" si="7"/>
        <v>0.35934708926680181</v>
      </c>
      <c r="E178" s="181">
        <f t="shared" si="1"/>
        <v>1.384983573215595E-2</v>
      </c>
      <c r="F178" s="181">
        <f t="shared" si="2"/>
        <v>0.37319692499895774</v>
      </c>
      <c r="G178" s="185">
        <f t="shared" si="13"/>
        <v>51095</v>
      </c>
      <c r="H178" s="183"/>
      <c r="I178" s="183"/>
      <c r="J178" s="183"/>
    </row>
    <row r="179" spans="1:10">
      <c r="A179" s="180">
        <f t="shared" si="3"/>
        <v>177</v>
      </c>
      <c r="B179" s="181">
        <f t="shared" si="4"/>
        <v>1.0780412678001412</v>
      </c>
      <c r="C179" s="2"/>
      <c r="D179" s="181">
        <f t="shared" si="7"/>
        <v>0.35934708926680181</v>
      </c>
      <c r="E179" s="181">
        <f t="shared" si="1"/>
        <v>1.1079868585724352E-2</v>
      </c>
      <c r="F179" s="181">
        <f t="shared" si="2"/>
        <v>0.37042695785252616</v>
      </c>
      <c r="G179" s="185">
        <f t="shared" si="13"/>
        <v>51126</v>
      </c>
      <c r="H179" s="183"/>
      <c r="I179" s="183"/>
      <c r="J179" s="183"/>
    </row>
    <row r="180" spans="1:10">
      <c r="A180" s="180">
        <f t="shared" si="3"/>
        <v>178</v>
      </c>
      <c r="B180" s="181">
        <f t="shared" si="4"/>
        <v>0.71869417853333939</v>
      </c>
      <c r="C180" s="2"/>
      <c r="D180" s="181">
        <f t="shared" si="7"/>
        <v>0.35934708926680181</v>
      </c>
      <c r="E180" s="181">
        <f t="shared" si="1"/>
        <v>8.3099014392927547E-3</v>
      </c>
      <c r="F180" s="181">
        <f t="shared" si="2"/>
        <v>0.36765699070609459</v>
      </c>
      <c r="G180" s="185">
        <f t="shared" si="13"/>
        <v>51157</v>
      </c>
      <c r="H180" s="183"/>
      <c r="I180" s="183"/>
      <c r="J180" s="183"/>
    </row>
    <row r="181" spans="1:10">
      <c r="A181" s="180">
        <f t="shared" si="3"/>
        <v>179</v>
      </c>
      <c r="B181" s="181">
        <f t="shared" si="4"/>
        <v>0.35934708926653758</v>
      </c>
      <c r="C181" s="2"/>
      <c r="D181" s="181">
        <f t="shared" si="7"/>
        <v>0.35934708926680181</v>
      </c>
      <c r="E181" s="181">
        <f t="shared" si="1"/>
        <v>5.5399342928611579E-3</v>
      </c>
      <c r="F181" s="181">
        <f t="shared" si="2"/>
        <v>0.36488702355966296</v>
      </c>
      <c r="G181" s="185">
        <f t="shared" si="13"/>
        <v>51188</v>
      </c>
      <c r="H181" s="183"/>
      <c r="I181" s="183"/>
      <c r="J181" s="183"/>
    </row>
    <row r="182" spans="1:10">
      <c r="A182" s="180">
        <f t="shared" si="3"/>
        <v>180</v>
      </c>
      <c r="B182" s="181">
        <f t="shared" si="4"/>
        <v>-2.6423307986078726E-13</v>
      </c>
      <c r="C182" s="2"/>
      <c r="D182" s="181">
        <f t="shared" si="7"/>
        <v>0.35934708926680181</v>
      </c>
      <c r="E182" s="181">
        <f t="shared" si="1"/>
        <v>2.7699671464295607E-3</v>
      </c>
      <c r="F182" s="181">
        <f t="shared" si="2"/>
        <v>0.36211705641323139</v>
      </c>
      <c r="G182" s="185">
        <f t="shared" si="13"/>
        <v>51219</v>
      </c>
      <c r="H182" s="181">
        <f>SUM(E171:E182)</f>
        <v>0.2160574374216401</v>
      </c>
      <c r="I182" s="181">
        <f>SUM(D171:D182)</f>
        <v>4.3121650712016208</v>
      </c>
      <c r="J182" s="181">
        <f>I182+H182</f>
        <v>4.5282225086232613</v>
      </c>
    </row>
    <row r="183" spans="1:10">
      <c r="A183" s="180">
        <f t="shared" si="3"/>
        <v>181</v>
      </c>
      <c r="B183" s="181">
        <v>0</v>
      </c>
      <c r="C183" s="181">
        <v>0</v>
      </c>
      <c r="D183" s="181">
        <v>0</v>
      </c>
      <c r="E183" s="181">
        <v>0</v>
      </c>
      <c r="F183" s="181">
        <v>0</v>
      </c>
      <c r="G183" s="185">
        <f t="shared" si="13"/>
        <v>51250</v>
      </c>
      <c r="H183" s="183"/>
      <c r="I183" s="183"/>
      <c r="J183" s="183"/>
    </row>
    <row r="184" spans="1:10">
      <c r="A184" s="180">
        <f t="shared" si="3"/>
        <v>182</v>
      </c>
      <c r="B184" s="181">
        <v>0</v>
      </c>
      <c r="C184" s="181">
        <v>0</v>
      </c>
      <c r="D184" s="181">
        <v>0</v>
      </c>
      <c r="E184" s="181">
        <v>0</v>
      </c>
      <c r="F184" s="181">
        <v>0</v>
      </c>
      <c r="G184" s="185">
        <f t="shared" si="13"/>
        <v>51281</v>
      </c>
      <c r="H184" s="183"/>
      <c r="I184" s="183"/>
      <c r="J184" s="183"/>
    </row>
    <row r="185" spans="1:10">
      <c r="A185" s="180">
        <f t="shared" si="3"/>
        <v>183</v>
      </c>
      <c r="B185" s="181">
        <v>0</v>
      </c>
      <c r="C185" s="181">
        <v>0</v>
      </c>
      <c r="D185" s="181">
        <v>0</v>
      </c>
      <c r="E185" s="181">
        <v>0</v>
      </c>
      <c r="F185" s="181">
        <v>0</v>
      </c>
      <c r="G185" s="185">
        <f t="shared" si="13"/>
        <v>51312</v>
      </c>
      <c r="H185" s="183"/>
      <c r="I185" s="183"/>
      <c r="J185" s="183"/>
    </row>
    <row r="186" spans="1:10">
      <c r="A186" s="180"/>
      <c r="B186" s="181"/>
      <c r="C186" s="2"/>
      <c r="D186" s="181"/>
      <c r="E186" s="181"/>
      <c r="F186" s="181"/>
      <c r="G186" s="185">
        <f t="shared" si="13"/>
        <v>51343</v>
      </c>
      <c r="H186" s="183"/>
      <c r="I186" s="183"/>
      <c r="J186" s="183"/>
    </row>
    <row r="187" spans="1:10">
      <c r="A187" s="180"/>
      <c r="B187" s="181"/>
      <c r="C187" s="2"/>
      <c r="D187" s="181"/>
      <c r="E187" s="181"/>
      <c r="F187" s="181"/>
      <c r="G187" s="185">
        <f t="shared" si="13"/>
        <v>51374</v>
      </c>
      <c r="H187" s="183"/>
      <c r="I187" s="183"/>
      <c r="J187" s="183"/>
    </row>
    <row r="188" spans="1:10">
      <c r="A188" s="180"/>
      <c r="B188" s="181"/>
      <c r="C188" s="2"/>
      <c r="D188" s="181"/>
      <c r="E188" s="181"/>
      <c r="F188" s="181"/>
      <c r="G188" s="185">
        <f t="shared" si="13"/>
        <v>51405</v>
      </c>
      <c r="H188" s="183"/>
      <c r="I188" s="183"/>
      <c r="J188" s="183"/>
    </row>
    <row r="189" spans="1:10">
      <c r="A189" s="180"/>
      <c r="B189" s="181"/>
      <c r="C189" s="2"/>
      <c r="D189" s="181"/>
      <c r="E189" s="181"/>
      <c r="F189" s="181"/>
      <c r="G189" s="185">
        <f t="shared" si="13"/>
        <v>51436</v>
      </c>
      <c r="H189" s="183"/>
      <c r="I189" s="183"/>
      <c r="J189" s="183"/>
    </row>
    <row r="190" spans="1:10">
      <c r="A190" s="180"/>
      <c r="B190" s="181"/>
      <c r="C190" s="2"/>
      <c r="D190" s="181"/>
      <c r="E190" s="181"/>
      <c r="F190" s="181"/>
      <c r="G190" s="185">
        <f t="shared" si="13"/>
        <v>51467</v>
      </c>
      <c r="H190" s="183"/>
      <c r="I190" s="183"/>
      <c r="J190" s="183"/>
    </row>
    <row r="191" spans="1:10">
      <c r="A191" s="180"/>
      <c r="B191" s="181"/>
      <c r="C191" s="2"/>
      <c r="D191" s="181"/>
      <c r="E191" s="181"/>
      <c r="F191" s="181"/>
      <c r="G191" s="185">
        <f t="shared" si="13"/>
        <v>51498</v>
      </c>
      <c r="H191" s="183"/>
      <c r="I191" s="183"/>
      <c r="J191" s="183"/>
    </row>
    <row r="192" spans="1:10">
      <c r="A192" s="180"/>
      <c r="B192" s="181"/>
      <c r="C192" s="2"/>
      <c r="D192" s="181"/>
      <c r="E192" s="181"/>
      <c r="F192" s="181"/>
      <c r="G192" s="185">
        <f t="shared" si="13"/>
        <v>51529</v>
      </c>
      <c r="H192" s="183"/>
      <c r="I192" s="183"/>
      <c r="J192" s="183"/>
    </row>
    <row r="193" spans="1:10">
      <c r="A193" s="180"/>
      <c r="B193" s="181"/>
      <c r="C193" s="2"/>
      <c r="D193" s="181"/>
      <c r="E193" s="181"/>
      <c r="F193" s="181"/>
      <c r="G193" s="185">
        <f t="shared" si="13"/>
        <v>51560</v>
      </c>
      <c r="H193" s="183"/>
      <c r="I193" s="183"/>
      <c r="J193" s="183"/>
    </row>
    <row r="194" spans="1:10">
      <c r="A194" s="180"/>
      <c r="B194" s="181"/>
      <c r="C194" s="2"/>
      <c r="D194" s="181"/>
      <c r="E194" s="181"/>
      <c r="F194" s="181"/>
      <c r="G194" s="185">
        <f t="shared" si="13"/>
        <v>51591</v>
      </c>
      <c r="H194" s="181">
        <f>SUM(E183:E194)</f>
        <v>0</v>
      </c>
      <c r="I194" s="181">
        <f>SUM(D183:D194)</f>
        <v>0</v>
      </c>
      <c r="J194" s="181">
        <f>I194+H194</f>
        <v>0</v>
      </c>
    </row>
    <row r="195" spans="1:10">
      <c r="A195" s="186"/>
      <c r="B195" s="187"/>
      <c r="C195" s="186"/>
      <c r="D195" s="188">
        <f>SUM(D6:D194)</f>
        <v>62.526393532423782</v>
      </c>
      <c r="E195" s="188">
        <f t="shared" ref="E195:F195" si="14">SUM(E3:E194)</f>
        <v>45.064595505295372</v>
      </c>
      <c r="F195" s="188">
        <f t="shared" si="14"/>
        <v>107.59098903771888</v>
      </c>
      <c r="G195" s="186"/>
      <c r="H195" s="188">
        <f t="shared" ref="H195:J195" si="15">SUM(H6:H194)</f>
        <v>45.064595505295365</v>
      </c>
      <c r="I195" s="188">
        <f t="shared" si="15"/>
        <v>62.526393532423484</v>
      </c>
      <c r="J195" s="188">
        <f t="shared" si="15"/>
        <v>107.59098903771888</v>
      </c>
    </row>
  </sheetData>
  <printOptions horizontalCentered="1" gridLines="1"/>
  <pageMargins left="0.7" right="0.7" top="0.75" bottom="0.75" header="0" footer="0"/>
  <pageSetup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Title</vt:lpstr>
      <vt:lpstr>Assumptions</vt:lpstr>
      <vt:lpstr>Project Cost</vt:lpstr>
      <vt:lpstr>PO wise details</vt:lpstr>
      <vt:lpstr>List of hospitals</vt:lpstr>
      <vt:lpstr>PVSyst</vt:lpstr>
      <vt:lpstr>P&amp;L Proj</vt:lpstr>
      <vt:lpstr>BS Proj</vt:lpstr>
      <vt:lpstr>Repayment Sch</vt:lpstr>
      <vt:lpstr>Proj DSCR</vt:lpstr>
      <vt:lpstr>Proj IRR</vt:lpstr>
      <vt:lpstr>Co Proj P&amp;L</vt:lpstr>
      <vt:lpstr>Co Proj BS</vt:lpstr>
      <vt:lpstr>Physical Progress</vt:lpstr>
      <vt:lpstr>Shareholding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Mohammad Umair</cp:lastModifiedBy>
  <dcterms:modified xsi:type="dcterms:W3CDTF">2025-02-24T14:38:25Z</dcterms:modified>
</cp:coreProperties>
</file>